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105" windowWidth="10260" windowHeight="7995" activeTab="15"/>
  </bookViews>
  <sheets>
    <sheet name="SET SP Paicol" sheetId="1" r:id="rId1"/>
    <sheet name="01" sheetId="55" r:id="rId2"/>
    <sheet name="02" sheetId="56" r:id="rId3"/>
    <sheet name="03" sheetId="60" r:id="rId4"/>
    <sheet name="04" sheetId="61" r:id="rId5"/>
    <sheet name="05" sheetId="62" r:id="rId6"/>
    <sheet name="06" sheetId="36" r:id="rId7"/>
    <sheet name="07" sheetId="38" r:id="rId8"/>
    <sheet name="08" sheetId="58" r:id="rId9"/>
    <sheet name="09" sheetId="59" r:id="rId10"/>
    <sheet name="10" sheetId="63" r:id="rId11"/>
    <sheet name="11" sheetId="64" r:id="rId12"/>
    <sheet name="12" sheetId="65" r:id="rId13"/>
    <sheet name="13" sheetId="68" r:id="rId14"/>
    <sheet name="14" sheetId="66" r:id="rId15"/>
    <sheet name="PAICOL-18" sheetId="69" r:id="rId16"/>
  </sheets>
  <definedNames>
    <definedName name="_xlnm.Print_Area" localSheetId="15">'PAICOL-18'!$A$2:$C$67</definedName>
    <definedName name="_xlnm.Print_Titles" localSheetId="0">'SET SP Paicol'!$1:$5</definedName>
  </definedNames>
  <calcPr calcId="144525"/>
</workbook>
</file>

<file path=xl/calcChain.xml><?xml version="1.0" encoding="utf-8"?>
<calcChain xmlns="http://schemas.openxmlformats.org/spreadsheetml/2006/main">
  <c r="P36" i="69" l="1"/>
  <c r="P10" i="69" l="1"/>
  <c r="P11" i="69"/>
  <c r="P9" i="69"/>
  <c r="O23" i="69" l="1"/>
  <c r="O21" i="69"/>
  <c r="O17" i="69"/>
  <c r="O15" i="69"/>
  <c r="O22" i="69"/>
  <c r="O20" i="69"/>
  <c r="O16" i="69"/>
  <c r="O14" i="69"/>
  <c r="N23" i="69" l="1"/>
  <c r="N21" i="69"/>
  <c r="N17" i="69"/>
  <c r="N15" i="69"/>
  <c r="N22" i="69"/>
  <c r="N20" i="69"/>
  <c r="N16" i="69"/>
  <c r="N14" i="69"/>
  <c r="M23" i="69" l="1"/>
  <c r="M21" i="69"/>
  <c r="M17" i="69"/>
  <c r="M15" i="69"/>
  <c r="M22" i="69"/>
  <c r="M20" i="69"/>
  <c r="M16" i="69"/>
  <c r="M14" i="69"/>
  <c r="L23" i="69" l="1"/>
  <c r="L21" i="69"/>
  <c r="L17" i="69"/>
  <c r="L15" i="69"/>
  <c r="L22" i="69"/>
  <c r="L20" i="69"/>
  <c r="L16" i="69"/>
  <c r="L14" i="69"/>
  <c r="K23" i="69" l="1"/>
  <c r="K21" i="69"/>
  <c r="K17" i="69"/>
  <c r="K15" i="69"/>
  <c r="K22" i="69"/>
  <c r="K20" i="69"/>
  <c r="K16" i="69"/>
  <c r="K14" i="69"/>
  <c r="J23" i="69" l="1"/>
  <c r="J21" i="69"/>
  <c r="J17" i="69"/>
  <c r="J15" i="69"/>
  <c r="J22" i="69"/>
  <c r="J20" i="69"/>
  <c r="J16" i="69"/>
  <c r="J14" i="69"/>
  <c r="I23" i="69" l="1"/>
  <c r="I21" i="69"/>
  <c r="I17" i="69"/>
  <c r="I15" i="69"/>
  <c r="I22" i="69"/>
  <c r="I20" i="69"/>
  <c r="I16" i="69"/>
  <c r="I14" i="69"/>
  <c r="H23" i="69" l="1"/>
  <c r="H21" i="69"/>
  <c r="H17" i="69"/>
  <c r="H15" i="69"/>
  <c r="H22" i="69"/>
  <c r="H20" i="69"/>
  <c r="H16" i="69"/>
  <c r="H14" i="69"/>
  <c r="G23" i="69" l="1"/>
  <c r="G21" i="69"/>
  <c r="G17" i="69"/>
  <c r="G15" i="69"/>
  <c r="F23" i="69"/>
  <c r="F21" i="69"/>
  <c r="F17" i="69"/>
  <c r="F15" i="69"/>
  <c r="G22" i="69"/>
  <c r="G20" i="69"/>
  <c r="G16" i="69"/>
  <c r="G14" i="69"/>
  <c r="F22" i="69"/>
  <c r="F20" i="69"/>
  <c r="F16" i="69"/>
  <c r="F14" i="69"/>
  <c r="E23" i="69" l="1"/>
  <c r="E21" i="69"/>
  <c r="E17" i="69"/>
  <c r="E15" i="69"/>
  <c r="E22" i="69"/>
  <c r="E20" i="69"/>
  <c r="E16" i="69"/>
  <c r="E14" i="69"/>
  <c r="D18" i="69"/>
  <c r="D16" i="69"/>
  <c r="D14" i="69"/>
  <c r="D25" i="69"/>
  <c r="D23" i="69"/>
  <c r="D21" i="69"/>
  <c r="D17" i="69"/>
  <c r="D15" i="69"/>
  <c r="D24" i="69"/>
  <c r="D22" i="69"/>
  <c r="D20" i="69"/>
  <c r="D26" i="69" s="1"/>
  <c r="D31" i="69"/>
  <c r="D30" i="69"/>
  <c r="D29" i="69" l="1"/>
  <c r="D27" i="69"/>
  <c r="D28" i="69"/>
  <c r="D32" i="69" s="1"/>
  <c r="D33" i="69"/>
  <c r="C18" i="55"/>
  <c r="D18" i="55"/>
  <c r="E18" i="55"/>
  <c r="C19" i="55"/>
  <c r="D19" i="55"/>
  <c r="E19" i="55"/>
  <c r="C17" i="65" l="1"/>
  <c r="K18" i="64" l="1"/>
  <c r="L18" i="64"/>
  <c r="M18" i="64"/>
  <c r="N18" i="64"/>
  <c r="K18" i="60"/>
  <c r="L18" i="60"/>
  <c r="M18" i="60"/>
  <c r="N18" i="60"/>
  <c r="H68" i="69"/>
  <c r="I68" i="69"/>
  <c r="J68" i="69"/>
  <c r="K68" i="69"/>
  <c r="L68" i="69"/>
  <c r="M68" i="69"/>
  <c r="N68" i="69"/>
  <c r="O68" i="69"/>
  <c r="H69" i="69"/>
  <c r="I69" i="69"/>
  <c r="J69" i="69"/>
  <c r="K69" i="69"/>
  <c r="L69" i="69"/>
  <c r="M69" i="69"/>
  <c r="N69" i="69"/>
  <c r="O69" i="69"/>
  <c r="J18" i="68" l="1"/>
  <c r="K18" i="68"/>
  <c r="L18" i="68"/>
  <c r="M18" i="68"/>
  <c r="N18" i="68"/>
  <c r="D18" i="68"/>
  <c r="E18" i="68"/>
  <c r="F18" i="68"/>
  <c r="G18" i="68"/>
  <c r="H18" i="68"/>
  <c r="I18" i="68"/>
  <c r="C18" i="68"/>
  <c r="D18" i="64"/>
  <c r="E18" i="64"/>
  <c r="F18" i="64"/>
  <c r="G18" i="64"/>
  <c r="H18" i="64"/>
  <c r="I18" i="64"/>
  <c r="J18" i="64"/>
  <c r="C18" i="64"/>
  <c r="J18" i="58"/>
  <c r="K18" i="58"/>
  <c r="L18" i="58"/>
  <c r="M18" i="58"/>
  <c r="N18" i="58"/>
  <c r="D18" i="58"/>
  <c r="E18" i="58"/>
  <c r="F18" i="58"/>
  <c r="G18" i="58"/>
  <c r="H18" i="58"/>
  <c r="I18" i="58"/>
  <c r="C18" i="58"/>
  <c r="J18" i="60"/>
  <c r="H46" i="69" l="1"/>
  <c r="G62" i="69"/>
  <c r="G46" i="69"/>
  <c r="G59" i="69"/>
  <c r="F47" i="69"/>
  <c r="F29" i="69"/>
  <c r="F46" i="69"/>
  <c r="F43" i="69"/>
  <c r="D62" i="69"/>
  <c r="D47" i="69"/>
  <c r="E46" i="69"/>
  <c r="D59" i="69"/>
  <c r="E28" i="69"/>
  <c r="E58" i="69"/>
  <c r="K18" i="63"/>
  <c r="L18" i="63"/>
  <c r="M18" i="63"/>
  <c r="N18" i="63"/>
  <c r="N17" i="63" s="1"/>
  <c r="X15" i="1" s="1"/>
  <c r="K19" i="63"/>
  <c r="L19" i="63"/>
  <c r="L17" i="63" s="1"/>
  <c r="V15" i="1" s="1"/>
  <c r="M19" i="63"/>
  <c r="M17" i="63" s="1"/>
  <c r="W15" i="1" s="1"/>
  <c r="N19" i="63"/>
  <c r="D17" i="59"/>
  <c r="E17" i="59"/>
  <c r="O14" i="1" s="1"/>
  <c r="F17" i="59"/>
  <c r="P14" i="1" s="1"/>
  <c r="G17" i="59"/>
  <c r="Q14" i="1" s="1"/>
  <c r="H17" i="59"/>
  <c r="I17" i="59"/>
  <c r="S14" i="1" s="1"/>
  <c r="J17" i="59"/>
  <c r="T14" i="1" s="1"/>
  <c r="K17" i="59"/>
  <c r="L17" i="59"/>
  <c r="M17" i="59"/>
  <c r="W14" i="1" s="1"/>
  <c r="N17" i="59"/>
  <c r="X14" i="1" s="1"/>
  <c r="C17" i="59"/>
  <c r="M14" i="1" s="1"/>
  <c r="D18" i="38"/>
  <c r="D18" i="66" s="1"/>
  <c r="E18" i="38"/>
  <c r="E18" i="66" s="1"/>
  <c r="F18" i="38"/>
  <c r="F18" i="66" s="1"/>
  <c r="G18" i="38"/>
  <c r="G18" i="66" s="1"/>
  <c r="H18" i="38"/>
  <c r="H18" i="66" s="1"/>
  <c r="I18" i="38"/>
  <c r="I18" i="66" s="1"/>
  <c r="J18" i="38"/>
  <c r="J18" i="66" s="1"/>
  <c r="K18" i="38"/>
  <c r="K18" i="66" s="1"/>
  <c r="L18" i="38"/>
  <c r="L18" i="66" s="1"/>
  <c r="M18" i="38"/>
  <c r="M18" i="66" s="1"/>
  <c r="N18" i="38"/>
  <c r="N18" i="66" s="1"/>
  <c r="C18" i="38"/>
  <c r="C18" i="66" s="1"/>
  <c r="K18" i="36"/>
  <c r="L18" i="36"/>
  <c r="M18" i="36"/>
  <c r="N18" i="36"/>
  <c r="K18" i="62"/>
  <c r="K19" i="58" s="1"/>
  <c r="K19" i="68" s="1"/>
  <c r="K17" i="68" s="1"/>
  <c r="U18" i="1" s="1"/>
  <c r="L18" i="62"/>
  <c r="L19" i="58" s="1"/>
  <c r="M18" i="62"/>
  <c r="M19" i="58" s="1"/>
  <c r="N18" i="62"/>
  <c r="N19" i="58" s="1"/>
  <c r="K19" i="62"/>
  <c r="K19" i="36" s="1"/>
  <c r="K17" i="36" s="1"/>
  <c r="U11" i="1" s="1"/>
  <c r="L19" i="62"/>
  <c r="M19" i="62"/>
  <c r="M19" i="36" s="1"/>
  <c r="M17" i="36" s="1"/>
  <c r="W11" i="1" s="1"/>
  <c r="N19" i="62"/>
  <c r="N19" i="36" s="1"/>
  <c r="N17" i="36" s="1"/>
  <c r="X11" i="1" s="1"/>
  <c r="K18" i="55"/>
  <c r="L18" i="55"/>
  <c r="M18" i="55"/>
  <c r="N18" i="55"/>
  <c r="K19" i="55"/>
  <c r="K19" i="60" s="1"/>
  <c r="L19" i="55"/>
  <c r="L19" i="60" s="1"/>
  <c r="M19" i="55"/>
  <c r="M19" i="60" s="1"/>
  <c r="N19" i="55"/>
  <c r="N19" i="60" s="1"/>
  <c r="E55" i="69"/>
  <c r="F55" i="69"/>
  <c r="G55" i="69"/>
  <c r="H55" i="69"/>
  <c r="G19" i="38" s="1"/>
  <c r="G17" i="38" s="1"/>
  <c r="Q12" i="1" s="1"/>
  <c r="I55" i="69"/>
  <c r="H19" i="38" s="1"/>
  <c r="J55" i="69"/>
  <c r="I19" i="38" s="1"/>
  <c r="K55" i="69"/>
  <c r="L55" i="69"/>
  <c r="K19" i="38" s="1"/>
  <c r="K19" i="66" s="1"/>
  <c r="M55" i="69"/>
  <c r="L19" i="38" s="1"/>
  <c r="L19" i="66" s="1"/>
  <c r="N55" i="69"/>
  <c r="M19" i="38" s="1"/>
  <c r="M19" i="66" s="1"/>
  <c r="O55" i="69"/>
  <c r="D55" i="69"/>
  <c r="C19" i="38" s="1"/>
  <c r="O18" i="59"/>
  <c r="O17" i="59" s="1"/>
  <c r="L14" i="1" s="1"/>
  <c r="O16" i="66"/>
  <c r="O15" i="66"/>
  <c r="C15" i="66" s="1"/>
  <c r="O16" i="68"/>
  <c r="O15" i="68"/>
  <c r="C15" i="68" s="1"/>
  <c r="O16" i="65"/>
  <c r="M16" i="65" s="1"/>
  <c r="O15" i="65"/>
  <c r="C15" i="65" s="1"/>
  <c r="O16" i="64"/>
  <c r="G16" i="64" s="1"/>
  <c r="O15" i="64"/>
  <c r="C15" i="64" s="1"/>
  <c r="O16" i="63"/>
  <c r="M16" i="63" s="1"/>
  <c r="O15" i="63"/>
  <c r="C15" i="63" s="1"/>
  <c r="O16" i="59"/>
  <c r="H16" i="59" s="1"/>
  <c r="O15" i="59"/>
  <c r="C15" i="59" s="1"/>
  <c r="O16" i="58"/>
  <c r="I16" i="58" s="1"/>
  <c r="O15" i="58"/>
  <c r="C15" i="58" s="1"/>
  <c r="O16" i="38"/>
  <c r="O15" i="38"/>
  <c r="J15" i="38" s="1"/>
  <c r="O16" i="36"/>
  <c r="I16" i="36" s="1"/>
  <c r="O15" i="36"/>
  <c r="C15" i="36" s="1"/>
  <c r="O16" i="62"/>
  <c r="J16" i="62" s="1"/>
  <c r="O15" i="62"/>
  <c r="C15" i="62" s="1"/>
  <c r="O16" i="61"/>
  <c r="J16" i="61" s="1"/>
  <c r="O15" i="61"/>
  <c r="C15" i="61" s="1"/>
  <c r="O16" i="60"/>
  <c r="C16" i="60" s="1"/>
  <c r="O15" i="60"/>
  <c r="C15" i="60" s="1"/>
  <c r="O16" i="56"/>
  <c r="G16" i="56" s="1"/>
  <c r="O15" i="56"/>
  <c r="C15" i="56" s="1"/>
  <c r="O16" i="55"/>
  <c r="O15" i="55"/>
  <c r="J15" i="55" s="1"/>
  <c r="D19" i="63"/>
  <c r="E19" i="63"/>
  <c r="F19" i="63"/>
  <c r="G19" i="63"/>
  <c r="H19" i="63"/>
  <c r="I19" i="63"/>
  <c r="J19" i="63"/>
  <c r="C19" i="63"/>
  <c r="D18" i="63"/>
  <c r="E18" i="63"/>
  <c r="F18" i="63"/>
  <c r="G18" i="63"/>
  <c r="H18" i="63"/>
  <c r="I18" i="63"/>
  <c r="J18" i="63"/>
  <c r="C18" i="63"/>
  <c r="D18" i="36"/>
  <c r="E18" i="36"/>
  <c r="F18" i="36"/>
  <c r="G18" i="36"/>
  <c r="H18" i="36"/>
  <c r="I18" i="36"/>
  <c r="J18" i="36"/>
  <c r="C18" i="36"/>
  <c r="H19" i="62"/>
  <c r="H19" i="36" s="1"/>
  <c r="H17" i="36" s="1"/>
  <c r="R11" i="1" s="1"/>
  <c r="I19" i="62"/>
  <c r="I19" i="36" s="1"/>
  <c r="I17" i="36" s="1"/>
  <c r="S11" i="1" s="1"/>
  <c r="J19" i="62"/>
  <c r="J19" i="36" s="1"/>
  <c r="J17" i="36" s="1"/>
  <c r="T11" i="1" s="1"/>
  <c r="C19" i="62"/>
  <c r="D18" i="62"/>
  <c r="D19" i="58" s="1"/>
  <c r="E18" i="62"/>
  <c r="E19" i="58" s="1"/>
  <c r="F18" i="62"/>
  <c r="F19" i="58" s="1"/>
  <c r="G18" i="62"/>
  <c r="G19" i="58" s="1"/>
  <c r="H18" i="62"/>
  <c r="H19" i="58" s="1"/>
  <c r="I18" i="62"/>
  <c r="I19" i="58" s="1"/>
  <c r="J18" i="62"/>
  <c r="J19" i="58" s="1"/>
  <c r="C18" i="62"/>
  <c r="C19" i="58" s="1"/>
  <c r="G69" i="69"/>
  <c r="F69" i="69"/>
  <c r="E69" i="69"/>
  <c r="D69" i="69"/>
  <c r="G68" i="69"/>
  <c r="F68" i="69"/>
  <c r="E68" i="69"/>
  <c r="D68" i="69"/>
  <c r="O63" i="69"/>
  <c r="N63" i="69"/>
  <c r="M63" i="69"/>
  <c r="L63" i="69"/>
  <c r="K63" i="69"/>
  <c r="J63" i="69"/>
  <c r="I63" i="69"/>
  <c r="H63" i="69"/>
  <c r="G63" i="69"/>
  <c r="F63" i="69"/>
  <c r="E63" i="69"/>
  <c r="D63" i="69"/>
  <c r="O62" i="69"/>
  <c r="N62" i="69"/>
  <c r="M62" i="69"/>
  <c r="L62" i="69"/>
  <c r="O61" i="69"/>
  <c r="N61" i="69"/>
  <c r="M61" i="69"/>
  <c r="L61" i="69"/>
  <c r="O60" i="69"/>
  <c r="N60" i="69"/>
  <c r="M60" i="69"/>
  <c r="L60" i="69"/>
  <c r="K60" i="69"/>
  <c r="J60" i="69"/>
  <c r="I60" i="69"/>
  <c r="H60" i="69"/>
  <c r="G60" i="69"/>
  <c r="F60" i="69"/>
  <c r="E60" i="69"/>
  <c r="D60" i="69"/>
  <c r="O59" i="69"/>
  <c r="N59" i="69"/>
  <c r="M59" i="69"/>
  <c r="L59" i="69"/>
  <c r="O58" i="69"/>
  <c r="N58" i="69"/>
  <c r="M58" i="69"/>
  <c r="L58" i="69"/>
  <c r="K58" i="69"/>
  <c r="O57" i="69"/>
  <c r="N57" i="69"/>
  <c r="M57" i="69"/>
  <c r="L57" i="69"/>
  <c r="K57" i="69"/>
  <c r="J57" i="69"/>
  <c r="I57" i="69"/>
  <c r="H57" i="69"/>
  <c r="G57" i="69"/>
  <c r="F57" i="69"/>
  <c r="E57" i="69"/>
  <c r="D57" i="69"/>
  <c r="O54" i="69"/>
  <c r="N54" i="69"/>
  <c r="M54" i="69"/>
  <c r="L54" i="69"/>
  <c r="K54" i="69"/>
  <c r="J54" i="69"/>
  <c r="I54" i="69"/>
  <c r="D54" i="69"/>
  <c r="O53" i="69"/>
  <c r="N53" i="69"/>
  <c r="M53" i="69"/>
  <c r="L53" i="69"/>
  <c r="K53" i="69"/>
  <c r="J53" i="69"/>
  <c r="I53" i="69"/>
  <c r="D53" i="69"/>
  <c r="O47" i="69"/>
  <c r="N47" i="69"/>
  <c r="M47" i="69"/>
  <c r="L47" i="69"/>
  <c r="O46" i="69"/>
  <c r="N46" i="69"/>
  <c r="M46" i="69"/>
  <c r="L46" i="69"/>
  <c r="O44" i="69"/>
  <c r="N44" i="69"/>
  <c r="M44" i="69"/>
  <c r="L44" i="69"/>
  <c r="O43" i="69"/>
  <c r="N43" i="69"/>
  <c r="M43" i="69"/>
  <c r="L43" i="69"/>
  <c r="K43" i="69"/>
  <c r="G42" i="69"/>
  <c r="G52" i="69" s="1"/>
  <c r="F42" i="69"/>
  <c r="F52" i="69" s="1"/>
  <c r="E42" i="69"/>
  <c r="E52" i="69" s="1"/>
  <c r="D42" i="69"/>
  <c r="D52" i="69" s="1"/>
  <c r="O31" i="69"/>
  <c r="N31" i="69"/>
  <c r="M31" i="69"/>
  <c r="L31" i="69"/>
  <c r="K31" i="69"/>
  <c r="J31" i="69"/>
  <c r="I31" i="69"/>
  <c r="H31" i="69"/>
  <c r="G31" i="69"/>
  <c r="F31" i="69"/>
  <c r="E31" i="69"/>
  <c r="O30" i="69"/>
  <c r="N30" i="69"/>
  <c r="M30" i="69"/>
  <c r="L30" i="69"/>
  <c r="K30" i="69"/>
  <c r="J30" i="69"/>
  <c r="I30" i="69"/>
  <c r="H30" i="69"/>
  <c r="G30" i="69"/>
  <c r="F30" i="69"/>
  <c r="E30" i="69"/>
  <c r="O29" i="69"/>
  <c r="N29" i="69"/>
  <c r="M29" i="69"/>
  <c r="L29" i="69"/>
  <c r="O28" i="69"/>
  <c r="N28" i="69"/>
  <c r="M28" i="69"/>
  <c r="L28" i="69"/>
  <c r="O27" i="69"/>
  <c r="N27" i="69"/>
  <c r="M27" i="69"/>
  <c r="L27" i="69"/>
  <c r="O26" i="69"/>
  <c r="N19" i="56" s="1"/>
  <c r="N26" i="69"/>
  <c r="M26" i="69"/>
  <c r="L26" i="69"/>
  <c r="K29" i="69"/>
  <c r="K46" i="69"/>
  <c r="K27" i="69"/>
  <c r="J46" i="69"/>
  <c r="D46" i="69"/>
  <c r="K59" i="69"/>
  <c r="J28" i="69"/>
  <c r="J18" i="55"/>
  <c r="J19" i="55"/>
  <c r="J19" i="60" s="1"/>
  <c r="H42" i="69"/>
  <c r="H52" i="69" s="1"/>
  <c r="I59" i="69"/>
  <c r="D61" i="69"/>
  <c r="H62" i="69"/>
  <c r="G26" i="69"/>
  <c r="J43" i="69"/>
  <c r="I19" i="55"/>
  <c r="I19" i="60" s="1"/>
  <c r="F58" i="69"/>
  <c r="J58" i="69"/>
  <c r="I18" i="55"/>
  <c r="J59" i="69"/>
  <c r="I62" i="69"/>
  <c r="K26" i="69"/>
  <c r="K44" i="69"/>
  <c r="D43" i="69"/>
  <c r="H58" i="69"/>
  <c r="D19" i="62"/>
  <c r="D19" i="36" s="1"/>
  <c r="J61" i="69"/>
  <c r="F62" i="69"/>
  <c r="J62" i="69"/>
  <c r="G58" i="69"/>
  <c r="K47" i="69"/>
  <c r="K62" i="69"/>
  <c r="E19" i="62"/>
  <c r="E19" i="36" s="1"/>
  <c r="C19" i="56"/>
  <c r="D44" i="69"/>
  <c r="K61" i="69"/>
  <c r="E27" i="69"/>
  <c r="E29" i="69"/>
  <c r="I29" i="69"/>
  <c r="E44" i="69"/>
  <c r="I47" i="69"/>
  <c r="E53" i="69"/>
  <c r="E54" i="69"/>
  <c r="K28" i="69"/>
  <c r="F26" i="69"/>
  <c r="J26" i="69"/>
  <c r="J27" i="69"/>
  <c r="J29" i="69"/>
  <c r="J44" i="69"/>
  <c r="F45" i="69"/>
  <c r="J47" i="69"/>
  <c r="F54" i="69"/>
  <c r="F53" i="69"/>
  <c r="F19" i="62"/>
  <c r="F19" i="36" s="1"/>
  <c r="I42" i="69"/>
  <c r="I45" i="69" s="1"/>
  <c r="J42" i="69"/>
  <c r="J45" i="69" s="1"/>
  <c r="G19" i="62"/>
  <c r="G19" i="36" s="1"/>
  <c r="G17" i="36" s="1"/>
  <c r="Q11" i="1" s="1"/>
  <c r="G54" i="69"/>
  <c r="G53" i="69"/>
  <c r="K42" i="69"/>
  <c r="K45" i="69" s="1"/>
  <c r="H54" i="69"/>
  <c r="H53" i="69"/>
  <c r="L42" i="69"/>
  <c r="L52" i="69" s="1"/>
  <c r="M42" i="69"/>
  <c r="M52" i="69" s="1"/>
  <c r="N42" i="69"/>
  <c r="N45" i="69" s="1"/>
  <c r="O42" i="69"/>
  <c r="O45" i="69" s="1"/>
  <c r="N17" i="65"/>
  <c r="X17" i="1" s="1"/>
  <c r="M17" i="65"/>
  <c r="L17" i="65"/>
  <c r="K17" i="65"/>
  <c r="U17" i="1" s="1"/>
  <c r="J17" i="65"/>
  <c r="T17" i="1" s="1"/>
  <c r="I17" i="65"/>
  <c r="S17" i="1" s="1"/>
  <c r="H17" i="65"/>
  <c r="R17" i="1" s="1"/>
  <c r="G17" i="65"/>
  <c r="Q17" i="1" s="1"/>
  <c r="F17" i="65"/>
  <c r="P17" i="1" s="1"/>
  <c r="E17" i="65"/>
  <c r="O17" i="1" s="1"/>
  <c r="D17" i="65"/>
  <c r="N17" i="1" s="1"/>
  <c r="M17" i="1"/>
  <c r="N17" i="64"/>
  <c r="X16" i="1" s="1"/>
  <c r="M17" i="64"/>
  <c r="W16" i="1" s="1"/>
  <c r="L17" i="64"/>
  <c r="V16" i="1" s="1"/>
  <c r="K17" i="64"/>
  <c r="U16" i="1" s="1"/>
  <c r="J17" i="64"/>
  <c r="T16" i="1" s="1"/>
  <c r="I17" i="64"/>
  <c r="S16" i="1" s="1"/>
  <c r="H17" i="64"/>
  <c r="R16" i="1" s="1"/>
  <c r="G17" i="64"/>
  <c r="Q16" i="1" s="1"/>
  <c r="F17" i="64"/>
  <c r="P16" i="1" s="1"/>
  <c r="E17" i="64"/>
  <c r="D17" i="64"/>
  <c r="N16" i="1" s="1"/>
  <c r="C17" i="64"/>
  <c r="M16" i="1" s="1"/>
  <c r="F5" i="66"/>
  <c r="F5" i="65"/>
  <c r="F5" i="64"/>
  <c r="F5" i="63"/>
  <c r="O18" i="64"/>
  <c r="O17" i="64" s="1"/>
  <c r="L16" i="1" s="1"/>
  <c r="C19" i="61"/>
  <c r="D19" i="61" s="1"/>
  <c r="E19" i="61" s="1"/>
  <c r="F19" i="61" s="1"/>
  <c r="O18" i="61"/>
  <c r="L22" i="66"/>
  <c r="H22" i="66"/>
  <c r="D22" i="66"/>
  <c r="L22" i="68"/>
  <c r="H22" i="68"/>
  <c r="D22" i="68"/>
  <c r="L22" i="65"/>
  <c r="H22" i="65"/>
  <c r="D22" i="65"/>
  <c r="L22" i="64"/>
  <c r="H22" i="64"/>
  <c r="D22" i="64"/>
  <c r="L22" i="63"/>
  <c r="H22" i="63"/>
  <c r="D22" i="63"/>
  <c r="I9" i="68"/>
  <c r="F9" i="68"/>
  <c r="A9" i="68"/>
  <c r="G6" i="68"/>
  <c r="F5" i="68"/>
  <c r="F4" i="68"/>
  <c r="O18" i="68"/>
  <c r="M16" i="68"/>
  <c r="H16" i="68"/>
  <c r="I15" i="68"/>
  <c r="D15" i="68"/>
  <c r="F3" i="68"/>
  <c r="I9" i="66"/>
  <c r="F9" i="66"/>
  <c r="A9" i="66"/>
  <c r="V17" i="1"/>
  <c r="W17" i="1"/>
  <c r="O16" i="1"/>
  <c r="F17" i="63"/>
  <c r="P15" i="1" s="1"/>
  <c r="I9" i="65"/>
  <c r="F9" i="65"/>
  <c r="A9" i="65"/>
  <c r="I9" i="64"/>
  <c r="F9" i="64"/>
  <c r="A9" i="64"/>
  <c r="I9" i="63"/>
  <c r="F9" i="63"/>
  <c r="A9" i="63"/>
  <c r="F4" i="66"/>
  <c r="F4" i="65"/>
  <c r="F4" i="64"/>
  <c r="F4" i="63"/>
  <c r="G6" i="66"/>
  <c r="G6" i="65"/>
  <c r="G6" i="64"/>
  <c r="G6" i="63"/>
  <c r="I15" i="66"/>
  <c r="F3" i="66"/>
  <c r="O18" i="65"/>
  <c r="O17" i="65" s="1"/>
  <c r="L17" i="1" s="1"/>
  <c r="F3" i="65"/>
  <c r="L16" i="64"/>
  <c r="G15" i="64"/>
  <c r="H9" i="64"/>
  <c r="F3" i="64"/>
  <c r="H15" i="63"/>
  <c r="F3" i="63"/>
  <c r="F5" i="59"/>
  <c r="F5" i="58"/>
  <c r="F5" i="38"/>
  <c r="F5" i="36"/>
  <c r="F5" i="62"/>
  <c r="F5" i="61"/>
  <c r="F5" i="60"/>
  <c r="F5" i="56"/>
  <c r="F5" i="55"/>
  <c r="F3" i="59"/>
  <c r="F3" i="58"/>
  <c r="F3" i="38"/>
  <c r="F3" i="36"/>
  <c r="F3" i="62"/>
  <c r="F3" i="61"/>
  <c r="F3" i="60"/>
  <c r="F3" i="56"/>
  <c r="F3" i="55"/>
  <c r="L22" i="62"/>
  <c r="H22" i="62"/>
  <c r="D22" i="62"/>
  <c r="I9" i="62"/>
  <c r="F9" i="62"/>
  <c r="A9" i="62"/>
  <c r="G6" i="62"/>
  <c r="F4" i="62"/>
  <c r="N17" i="62"/>
  <c r="X10" i="1" s="1"/>
  <c r="E16" i="62"/>
  <c r="M15" i="62"/>
  <c r="G15" i="62"/>
  <c r="L23" i="61"/>
  <c r="H23" i="61"/>
  <c r="D23" i="61"/>
  <c r="I9" i="61"/>
  <c r="F9" i="61"/>
  <c r="A9" i="61"/>
  <c r="G6" i="61"/>
  <c r="F4" i="61"/>
  <c r="L23" i="60"/>
  <c r="H23" i="60"/>
  <c r="D23" i="60"/>
  <c r="I9" i="60"/>
  <c r="F9" i="60"/>
  <c r="A9" i="60"/>
  <c r="G6" i="60"/>
  <c r="F4" i="60"/>
  <c r="I15" i="61"/>
  <c r="K16" i="60"/>
  <c r="F16" i="60"/>
  <c r="L15" i="60"/>
  <c r="L22" i="59"/>
  <c r="H22" i="59"/>
  <c r="D22" i="59"/>
  <c r="I9" i="59"/>
  <c r="F9" i="59"/>
  <c r="A9" i="59"/>
  <c r="G6" i="59"/>
  <c r="F4" i="59"/>
  <c r="V14" i="1"/>
  <c r="U14" i="1"/>
  <c r="R14" i="1"/>
  <c r="N14" i="1"/>
  <c r="M16" i="59"/>
  <c r="K15" i="59"/>
  <c r="E15" i="59"/>
  <c r="O18" i="58"/>
  <c r="L22" i="58"/>
  <c r="H22" i="58"/>
  <c r="D22" i="58"/>
  <c r="I9" i="58"/>
  <c r="F9" i="58"/>
  <c r="A9" i="58"/>
  <c r="G6" i="58"/>
  <c r="F4" i="58"/>
  <c r="L22" i="56"/>
  <c r="H22" i="56"/>
  <c r="D22" i="56"/>
  <c r="I9" i="56"/>
  <c r="F9" i="56"/>
  <c r="A9" i="56"/>
  <c r="G6" i="56"/>
  <c r="F4" i="56"/>
  <c r="I15" i="56"/>
  <c r="L22" i="55"/>
  <c r="H22" i="55"/>
  <c r="D22" i="55"/>
  <c r="I9" i="55"/>
  <c r="F9" i="55"/>
  <c r="A9" i="55"/>
  <c r="G6" i="55"/>
  <c r="F4" i="55"/>
  <c r="N17" i="55"/>
  <c r="X6" i="1" s="1"/>
  <c r="N16" i="55"/>
  <c r="I16" i="55"/>
  <c r="G6" i="38"/>
  <c r="G6" i="36"/>
  <c r="L22" i="38"/>
  <c r="H22" i="38"/>
  <c r="D22" i="38"/>
  <c r="I9" i="38"/>
  <c r="H9" i="38"/>
  <c r="F9" i="38"/>
  <c r="A9" i="38"/>
  <c r="F4" i="38"/>
  <c r="J16" i="38"/>
  <c r="E16" i="38"/>
  <c r="N15" i="38"/>
  <c r="I15" i="38"/>
  <c r="E15" i="38"/>
  <c r="L22" i="36"/>
  <c r="H22" i="36"/>
  <c r="D22" i="36"/>
  <c r="I9" i="36"/>
  <c r="F9" i="36"/>
  <c r="A9" i="36"/>
  <c r="F4" i="36"/>
  <c r="O33" i="69" l="1"/>
  <c r="O67" i="69" s="1"/>
  <c r="O65" i="69"/>
  <c r="E16" i="58"/>
  <c r="H9" i="61"/>
  <c r="I16" i="65"/>
  <c r="D17" i="36"/>
  <c r="N11" i="1" s="1"/>
  <c r="K19" i="56"/>
  <c r="K18" i="56"/>
  <c r="K17" i="56" s="1"/>
  <c r="U7" i="1" s="1"/>
  <c r="N33" i="69"/>
  <c r="L17" i="55"/>
  <c r="V6" i="1" s="1"/>
  <c r="O32" i="69"/>
  <c r="J66" i="69"/>
  <c r="M19" i="56"/>
  <c r="N16" i="61"/>
  <c r="N18" i="56"/>
  <c r="N17" i="56" s="1"/>
  <c r="X7" i="1" s="1"/>
  <c r="M49" i="69"/>
  <c r="N32" i="69"/>
  <c r="N67" i="69" s="1"/>
  <c r="C17" i="63"/>
  <c r="M15" i="1" s="1"/>
  <c r="D18" i="56"/>
  <c r="G45" i="69"/>
  <c r="G15" i="38"/>
  <c r="K15" i="38"/>
  <c r="E15" i="55"/>
  <c r="H15" i="59"/>
  <c r="M15" i="59"/>
  <c r="G15" i="60"/>
  <c r="E15" i="62"/>
  <c r="J15" i="62"/>
  <c r="L15" i="64"/>
  <c r="G15" i="68"/>
  <c r="L15" i="68"/>
  <c r="D15" i="38"/>
  <c r="H15" i="38"/>
  <c r="M15" i="38"/>
  <c r="D15" i="59"/>
  <c r="I15" i="59"/>
  <c r="J15" i="60"/>
  <c r="F15" i="62"/>
  <c r="K15" i="62"/>
  <c r="D15" i="64"/>
  <c r="C17" i="61"/>
  <c r="M9" i="1" s="1"/>
  <c r="H15" i="68"/>
  <c r="M15" i="68"/>
  <c r="H45" i="69"/>
  <c r="N66" i="69"/>
  <c r="F15" i="38"/>
  <c r="G15" i="59"/>
  <c r="L15" i="59"/>
  <c r="D15" i="60"/>
  <c r="I15" i="62"/>
  <c r="N15" i="62"/>
  <c r="J15" i="64"/>
  <c r="E15" i="68"/>
  <c r="K15" i="68"/>
  <c r="L16" i="36"/>
  <c r="C16" i="36"/>
  <c r="M16" i="66"/>
  <c r="C16" i="66"/>
  <c r="E16" i="36"/>
  <c r="M17" i="62"/>
  <c r="W10" i="1" s="1"/>
  <c r="E16" i="65"/>
  <c r="M16" i="36"/>
  <c r="N16" i="66"/>
  <c r="M16" i="61"/>
  <c r="C16" i="61"/>
  <c r="L16" i="58"/>
  <c r="C16" i="58"/>
  <c r="L16" i="65"/>
  <c r="C16" i="65"/>
  <c r="H9" i="36"/>
  <c r="M16" i="58"/>
  <c r="F16" i="61"/>
  <c r="N16" i="62"/>
  <c r="C16" i="62"/>
  <c r="N16" i="38"/>
  <c r="C16" i="38"/>
  <c r="L16" i="59"/>
  <c r="C16" i="59"/>
  <c r="L16" i="68"/>
  <c r="C16" i="68"/>
  <c r="H15" i="65"/>
  <c r="K16" i="64"/>
  <c r="C16" i="64"/>
  <c r="F15" i="64"/>
  <c r="H15" i="64"/>
  <c r="K15" i="64"/>
  <c r="N15" i="64"/>
  <c r="L16" i="63"/>
  <c r="C16" i="63"/>
  <c r="K15" i="58"/>
  <c r="L15" i="38"/>
  <c r="C15" i="38"/>
  <c r="F15" i="60"/>
  <c r="H15" i="60"/>
  <c r="K15" i="60"/>
  <c r="N15" i="60"/>
  <c r="N16" i="56"/>
  <c r="C16" i="56"/>
  <c r="K16" i="56"/>
  <c r="M16" i="55"/>
  <c r="C16" i="55"/>
  <c r="N15" i="55"/>
  <c r="C15" i="55"/>
  <c r="F15" i="55"/>
  <c r="K15" i="55"/>
  <c r="D48" i="69"/>
  <c r="N65" i="69"/>
  <c r="F16" i="66"/>
  <c r="J16" i="66"/>
  <c r="D17" i="63"/>
  <c r="N15" i="1" s="1"/>
  <c r="E16" i="63"/>
  <c r="I16" i="63"/>
  <c r="G15" i="55"/>
  <c r="M15" i="55"/>
  <c r="I15" i="55"/>
  <c r="J17" i="55"/>
  <c r="T6" i="1" s="1"/>
  <c r="C17" i="55"/>
  <c r="M6" i="1" s="1"/>
  <c r="N16" i="36"/>
  <c r="D16" i="56"/>
  <c r="H16" i="56"/>
  <c r="L16" i="56"/>
  <c r="H9" i="58"/>
  <c r="F16" i="58"/>
  <c r="J16" i="58"/>
  <c r="N16" i="58"/>
  <c r="G16" i="61"/>
  <c r="K16" i="61"/>
  <c r="H9" i="63"/>
  <c r="F16" i="63"/>
  <c r="J16" i="63"/>
  <c r="N16" i="63"/>
  <c r="H9" i="65"/>
  <c r="F16" i="65"/>
  <c r="J16" i="65"/>
  <c r="N16" i="65"/>
  <c r="G16" i="66"/>
  <c r="K16" i="66"/>
  <c r="G16" i="36"/>
  <c r="K16" i="36"/>
  <c r="E16" i="56"/>
  <c r="I16" i="56"/>
  <c r="M16" i="56"/>
  <c r="G16" i="58"/>
  <c r="K16" i="58"/>
  <c r="D16" i="61"/>
  <c r="H16" i="61"/>
  <c r="L16" i="61"/>
  <c r="D17" i="62"/>
  <c r="N10" i="1" s="1"/>
  <c r="G16" i="63"/>
  <c r="K16" i="63"/>
  <c r="G16" i="65"/>
  <c r="K16" i="65"/>
  <c r="D16" i="66"/>
  <c r="H16" i="66"/>
  <c r="L16" i="66"/>
  <c r="H9" i="66"/>
  <c r="O66" i="69"/>
  <c r="N48" i="69"/>
  <c r="N49" i="69"/>
  <c r="K17" i="63"/>
  <c r="U15" i="1" s="1"/>
  <c r="F18" i="55"/>
  <c r="F16" i="36"/>
  <c r="J16" i="36"/>
  <c r="D16" i="36"/>
  <c r="H16" i="36"/>
  <c r="H9" i="56"/>
  <c r="F16" i="56"/>
  <c r="J16" i="56"/>
  <c r="D16" i="58"/>
  <c r="H16" i="58"/>
  <c r="E16" i="61"/>
  <c r="I16" i="61"/>
  <c r="H17" i="62"/>
  <c r="R10" i="1" s="1"/>
  <c r="D16" i="63"/>
  <c r="H16" i="63"/>
  <c r="D16" i="65"/>
  <c r="H16" i="65"/>
  <c r="E16" i="66"/>
  <c r="I16" i="66"/>
  <c r="N19" i="38"/>
  <c r="N19" i="66" s="1"/>
  <c r="J19" i="38"/>
  <c r="J19" i="66" s="1"/>
  <c r="J17" i="63"/>
  <c r="T15" i="1" s="1"/>
  <c r="L18" i="56"/>
  <c r="M64" i="69"/>
  <c r="M32" i="69"/>
  <c r="K66" i="69"/>
  <c r="F16" i="38"/>
  <c r="K16" i="38"/>
  <c r="E16" i="55"/>
  <c r="J16" i="55"/>
  <c r="D16" i="59"/>
  <c r="I16" i="59"/>
  <c r="H9" i="60"/>
  <c r="G16" i="60"/>
  <c r="L16" i="60"/>
  <c r="F16" i="62"/>
  <c r="K16" i="62"/>
  <c r="H16" i="64"/>
  <c r="N16" i="64"/>
  <c r="D16" i="68"/>
  <c r="I16" i="68"/>
  <c r="M45" i="69"/>
  <c r="J49" i="69"/>
  <c r="O64" i="69"/>
  <c r="K32" i="69"/>
  <c r="G16" i="38"/>
  <c r="M16" i="38"/>
  <c r="F16" i="55"/>
  <c r="K16" i="55"/>
  <c r="E16" i="59"/>
  <c r="K16" i="59"/>
  <c r="H16" i="60"/>
  <c r="N16" i="60"/>
  <c r="H9" i="62"/>
  <c r="G16" i="62"/>
  <c r="M16" i="62"/>
  <c r="D16" i="64"/>
  <c r="J16" i="64"/>
  <c r="E16" i="68"/>
  <c r="K16" i="68"/>
  <c r="F17" i="36"/>
  <c r="P11" i="1" s="1"/>
  <c r="D65" i="69"/>
  <c r="K33" i="69"/>
  <c r="M65" i="69"/>
  <c r="E66" i="69"/>
  <c r="I66" i="69"/>
  <c r="M33" i="69"/>
  <c r="L48" i="69"/>
  <c r="L49" i="69"/>
  <c r="I16" i="38"/>
  <c r="H9" i="55"/>
  <c r="G16" i="55"/>
  <c r="K17" i="55"/>
  <c r="U6" i="1" s="1"/>
  <c r="H9" i="59"/>
  <c r="G16" i="59"/>
  <c r="D16" i="60"/>
  <c r="J16" i="60"/>
  <c r="I16" i="62"/>
  <c r="J17" i="62"/>
  <c r="T10" i="1" s="1"/>
  <c r="F16" i="64"/>
  <c r="H9" i="68"/>
  <c r="G16" i="68"/>
  <c r="K52" i="69"/>
  <c r="E45" i="69"/>
  <c r="M66" i="69"/>
  <c r="O49" i="69"/>
  <c r="I17" i="63"/>
  <c r="S15" i="1" s="1"/>
  <c r="E65" i="69"/>
  <c r="E62" i="69"/>
  <c r="F59" i="69"/>
  <c r="G61" i="69"/>
  <c r="H43" i="69"/>
  <c r="G18" i="55"/>
  <c r="H18" i="55"/>
  <c r="D49" i="69"/>
  <c r="E33" i="69"/>
  <c r="L19" i="56"/>
  <c r="L17" i="56" s="1"/>
  <c r="V7" i="1" s="1"/>
  <c r="F66" i="69"/>
  <c r="M48" i="69"/>
  <c r="O18" i="66"/>
  <c r="F49" i="69"/>
  <c r="D66" i="69"/>
  <c r="L33" i="69"/>
  <c r="E17" i="63"/>
  <c r="O15" i="1" s="1"/>
  <c r="L15" i="61"/>
  <c r="E15" i="61"/>
  <c r="L15" i="66"/>
  <c r="M15" i="66"/>
  <c r="L19" i="36"/>
  <c r="L17" i="36" s="1"/>
  <c r="V11" i="1" s="1"/>
  <c r="L17" i="62"/>
  <c r="V10" i="1" s="1"/>
  <c r="L15" i="65"/>
  <c r="F27" i="69"/>
  <c r="E18" i="56" s="1"/>
  <c r="I44" i="69"/>
  <c r="L66" i="69"/>
  <c r="F61" i="69"/>
  <c r="I58" i="69"/>
  <c r="F28" i="69"/>
  <c r="F32" i="69" s="1"/>
  <c r="M18" i="56"/>
  <c r="N64" i="69"/>
  <c r="C19" i="36"/>
  <c r="C17" i="36" s="1"/>
  <c r="M11" i="1" s="1"/>
  <c r="C17" i="62"/>
  <c r="M10" i="1" s="1"/>
  <c r="G17" i="63"/>
  <c r="Q15" i="1" s="1"/>
  <c r="L15" i="55"/>
  <c r="H15" i="55"/>
  <c r="D15" i="55"/>
  <c r="M15" i="60"/>
  <c r="I15" i="60"/>
  <c r="E15" i="60"/>
  <c r="L15" i="62"/>
  <c r="H15" i="62"/>
  <c r="D15" i="62"/>
  <c r="N15" i="59"/>
  <c r="J15" i="59"/>
  <c r="F15" i="59"/>
  <c r="M15" i="64"/>
  <c r="I15" i="64"/>
  <c r="E15" i="64"/>
  <c r="N15" i="68"/>
  <c r="J15" i="68"/>
  <c r="F15" i="68"/>
  <c r="E19" i="38"/>
  <c r="E17" i="38" s="1"/>
  <c r="O12" i="1" s="1"/>
  <c r="E61" i="69"/>
  <c r="L65" i="69"/>
  <c r="O48" i="69"/>
  <c r="L15" i="56"/>
  <c r="M15" i="56"/>
  <c r="L15" i="36"/>
  <c r="E15" i="36"/>
  <c r="N15" i="58"/>
  <c r="G15" i="58"/>
  <c r="O18" i="38"/>
  <c r="H59" i="69"/>
  <c r="I43" i="69"/>
  <c r="I26" i="69"/>
  <c r="M15" i="61"/>
  <c r="I17" i="62"/>
  <c r="S10" i="1" s="1"/>
  <c r="L15" i="63"/>
  <c r="O52" i="69"/>
  <c r="J52" i="69"/>
  <c r="L64" i="69"/>
  <c r="L32" i="69"/>
  <c r="K64" i="69"/>
  <c r="J18" i="56"/>
  <c r="H61" i="69"/>
  <c r="H27" i="69"/>
  <c r="H47" i="69"/>
  <c r="H49" i="69" s="1"/>
  <c r="I15" i="36"/>
  <c r="K17" i="58"/>
  <c r="U13" i="1" s="1"/>
  <c r="E17" i="62"/>
  <c r="O10" i="1" s="1"/>
  <c r="M15" i="36"/>
  <c r="I17" i="55"/>
  <c r="S6" i="1" s="1"/>
  <c r="E15" i="56"/>
  <c r="F17" i="62"/>
  <c r="P10" i="1" s="1"/>
  <c r="K17" i="62"/>
  <c r="U10" i="1" s="1"/>
  <c r="D15" i="63"/>
  <c r="D15" i="65"/>
  <c r="E15" i="66"/>
  <c r="C19" i="60"/>
  <c r="C20" i="60" s="1"/>
  <c r="H26" i="69"/>
  <c r="K49" i="69"/>
  <c r="D58" i="69"/>
  <c r="G66" i="69"/>
  <c r="L16" i="55"/>
  <c r="H16" i="55"/>
  <c r="D16" i="55"/>
  <c r="M16" i="60"/>
  <c r="I16" i="60"/>
  <c r="E16" i="60"/>
  <c r="L16" i="62"/>
  <c r="H16" i="62"/>
  <c r="D16" i="62"/>
  <c r="L16" i="38"/>
  <c r="H16" i="38"/>
  <c r="D16" i="38"/>
  <c r="N16" i="59"/>
  <c r="J16" i="59"/>
  <c r="F16" i="59"/>
  <c r="M16" i="64"/>
  <c r="I16" i="64"/>
  <c r="E16" i="64"/>
  <c r="N16" i="68"/>
  <c r="J16" i="68"/>
  <c r="F16" i="68"/>
  <c r="D19" i="38"/>
  <c r="D19" i="66" s="1"/>
  <c r="K65" i="69"/>
  <c r="E47" i="69"/>
  <c r="E49" i="69" s="1"/>
  <c r="E17" i="36"/>
  <c r="O11" i="1" s="1"/>
  <c r="G29" i="69"/>
  <c r="G44" i="69"/>
  <c r="J33" i="69"/>
  <c r="J64" i="69"/>
  <c r="J65" i="69"/>
  <c r="J32" i="69"/>
  <c r="O18" i="63"/>
  <c r="I19" i="56"/>
  <c r="J48" i="69"/>
  <c r="M19" i="68"/>
  <c r="M17" i="68" s="1"/>
  <c r="W18" i="1" s="1"/>
  <c r="M17" i="58"/>
  <c r="W13" i="1" s="1"/>
  <c r="F15" i="36"/>
  <c r="J15" i="36"/>
  <c r="N15" i="36"/>
  <c r="F15" i="56"/>
  <c r="J15" i="56"/>
  <c r="N15" i="56"/>
  <c r="D15" i="58"/>
  <c r="H15" i="58"/>
  <c r="L15" i="58"/>
  <c r="F15" i="61"/>
  <c r="J15" i="61"/>
  <c r="N15" i="61"/>
  <c r="E15" i="63"/>
  <c r="I15" i="63"/>
  <c r="M15" i="63"/>
  <c r="E15" i="65"/>
  <c r="I15" i="65"/>
  <c r="M15" i="65"/>
  <c r="F15" i="66"/>
  <c r="J15" i="66"/>
  <c r="N15" i="66"/>
  <c r="I52" i="69"/>
  <c r="F44" i="69"/>
  <c r="F48" i="69" s="1"/>
  <c r="G47" i="69"/>
  <c r="G49" i="69" s="1"/>
  <c r="E26" i="69"/>
  <c r="D19" i="56" s="1"/>
  <c r="H44" i="69"/>
  <c r="H48" i="69" s="1"/>
  <c r="H29" i="69"/>
  <c r="H33" i="69" s="1"/>
  <c r="H66" i="69"/>
  <c r="K48" i="69"/>
  <c r="E43" i="69"/>
  <c r="E48" i="69" s="1"/>
  <c r="G19" i="55"/>
  <c r="H28" i="69"/>
  <c r="O18" i="36"/>
  <c r="G15" i="36"/>
  <c r="K15" i="36"/>
  <c r="G15" i="56"/>
  <c r="K15" i="56"/>
  <c r="E15" i="58"/>
  <c r="I15" i="58"/>
  <c r="M15" i="58"/>
  <c r="G15" i="61"/>
  <c r="K15" i="61"/>
  <c r="O19" i="62"/>
  <c r="F15" i="63"/>
  <c r="J15" i="63"/>
  <c r="N15" i="63"/>
  <c r="F15" i="65"/>
  <c r="J15" i="65"/>
  <c r="N15" i="65"/>
  <c r="G15" i="66"/>
  <c r="K15" i="66"/>
  <c r="D17" i="61"/>
  <c r="N9" i="1" s="1"/>
  <c r="I27" i="69"/>
  <c r="G28" i="69"/>
  <c r="E59" i="69"/>
  <c r="F19" i="55"/>
  <c r="I61" i="69"/>
  <c r="D15" i="36"/>
  <c r="H15" i="36"/>
  <c r="M17" i="55"/>
  <c r="W6" i="1" s="1"/>
  <c r="D15" i="56"/>
  <c r="H15" i="56"/>
  <c r="F15" i="58"/>
  <c r="J15" i="58"/>
  <c r="D15" i="61"/>
  <c r="H15" i="61"/>
  <c r="G15" i="63"/>
  <c r="K15" i="63"/>
  <c r="G15" i="65"/>
  <c r="K15" i="65"/>
  <c r="D15" i="66"/>
  <c r="H15" i="66"/>
  <c r="D45" i="69"/>
  <c r="G27" i="69"/>
  <c r="G43" i="69"/>
  <c r="H19" i="55"/>
  <c r="H19" i="60" s="1"/>
  <c r="F19" i="38"/>
  <c r="F17" i="38" s="1"/>
  <c r="P12" i="1" s="1"/>
  <c r="I46" i="69"/>
  <c r="I49" i="69" s="1"/>
  <c r="I28" i="69"/>
  <c r="I65" i="69" s="1"/>
  <c r="O18" i="62"/>
  <c r="L17" i="58"/>
  <c r="V13" i="1" s="1"/>
  <c r="L19" i="68"/>
  <c r="L17" i="68" s="1"/>
  <c r="V18" i="1" s="1"/>
  <c r="I19" i="68"/>
  <c r="I17" i="68" s="1"/>
  <c r="S18" i="1" s="1"/>
  <c r="I17" i="58"/>
  <c r="S13" i="1" s="1"/>
  <c r="G19" i="61"/>
  <c r="H19" i="61" s="1"/>
  <c r="I19" i="61" s="1"/>
  <c r="J19" i="61" s="1"/>
  <c r="K19" i="61" s="1"/>
  <c r="L19" i="61" s="1"/>
  <c r="M19" i="61" s="1"/>
  <c r="N19" i="61" s="1"/>
  <c r="H19" i="68"/>
  <c r="H17" i="68" s="1"/>
  <c r="R18" i="1" s="1"/>
  <c r="H17" i="58"/>
  <c r="R13" i="1" s="1"/>
  <c r="D19" i="68"/>
  <c r="D17" i="68" s="1"/>
  <c r="N18" i="1" s="1"/>
  <c r="D17" i="58"/>
  <c r="N13" i="1" s="1"/>
  <c r="M17" i="66"/>
  <c r="W19" i="1" s="1"/>
  <c r="K17" i="38"/>
  <c r="U12" i="1" s="1"/>
  <c r="N19" i="68"/>
  <c r="N17" i="68" s="1"/>
  <c r="X18" i="1" s="1"/>
  <c r="N17" i="58"/>
  <c r="X13" i="1" s="1"/>
  <c r="E17" i="61"/>
  <c r="O9" i="1" s="1"/>
  <c r="E17" i="58"/>
  <c r="O13" i="1" s="1"/>
  <c r="E19" i="68"/>
  <c r="E17" i="68" s="1"/>
  <c r="O18" i="1" s="1"/>
  <c r="C17" i="58"/>
  <c r="M13" i="1" s="1"/>
  <c r="C19" i="68"/>
  <c r="O19" i="58"/>
  <c r="O17" i="58" s="1"/>
  <c r="L13" i="1" s="1"/>
  <c r="G19" i="68"/>
  <c r="G17" i="68" s="1"/>
  <c r="Q18" i="1" s="1"/>
  <c r="G17" i="58"/>
  <c r="Q13" i="1" s="1"/>
  <c r="J17" i="58"/>
  <c r="T13" i="1" s="1"/>
  <c r="J19" i="68"/>
  <c r="J17" i="68" s="1"/>
  <c r="T18" i="1" s="1"/>
  <c r="F19" i="68"/>
  <c r="F17" i="68" s="1"/>
  <c r="P18" i="1" s="1"/>
  <c r="F17" i="58"/>
  <c r="P13" i="1" s="1"/>
  <c r="L17" i="66"/>
  <c r="V19" i="1" s="1"/>
  <c r="I17" i="38"/>
  <c r="S12" i="1" s="1"/>
  <c r="I19" i="66"/>
  <c r="N52" i="69"/>
  <c r="L45" i="69"/>
  <c r="J19" i="56"/>
  <c r="L17" i="38"/>
  <c r="V12" i="1" s="1"/>
  <c r="M17" i="38"/>
  <c r="W12" i="1" s="1"/>
  <c r="I18" i="56"/>
  <c r="H17" i="63"/>
  <c r="R15" i="1" s="1"/>
  <c r="O19" i="63"/>
  <c r="H17" i="38"/>
  <c r="R12" i="1" s="1"/>
  <c r="H19" i="66"/>
  <c r="G17" i="62"/>
  <c r="Q10" i="1" s="1"/>
  <c r="G19" i="66"/>
  <c r="C17" i="38"/>
  <c r="M12" i="1" s="1"/>
  <c r="C19" i="66"/>
  <c r="M17" i="56" l="1"/>
  <c r="W7" i="1" s="1"/>
  <c r="N17" i="38"/>
  <c r="X12" i="1" s="1"/>
  <c r="M67" i="69"/>
  <c r="J17" i="38"/>
  <c r="T12" i="1" s="1"/>
  <c r="H64" i="69"/>
  <c r="K67" i="69"/>
  <c r="D64" i="69"/>
  <c r="C18" i="56"/>
  <c r="C17" i="56" s="1"/>
  <c r="M7" i="1" s="1"/>
  <c r="E19" i="56"/>
  <c r="E17" i="56" s="1"/>
  <c r="O7" i="1" s="1"/>
  <c r="F33" i="69"/>
  <c r="F67" i="69" s="1"/>
  <c r="G48" i="69"/>
  <c r="E19" i="66"/>
  <c r="E17" i="66" s="1"/>
  <c r="O19" i="1" s="1"/>
  <c r="F64" i="69"/>
  <c r="I48" i="69"/>
  <c r="D67" i="69"/>
  <c r="I64" i="69"/>
  <c r="F65" i="69"/>
  <c r="O18" i="55"/>
  <c r="D17" i="38"/>
  <c r="N12" i="1" s="1"/>
  <c r="O19" i="36"/>
  <c r="O17" i="36" s="1"/>
  <c r="L11" i="1" s="1"/>
  <c r="J17" i="56"/>
  <c r="T7" i="1" s="1"/>
  <c r="O17" i="62"/>
  <c r="L10" i="1" s="1"/>
  <c r="J67" i="69"/>
  <c r="J37" i="69"/>
  <c r="I18" i="60" s="1"/>
  <c r="O19" i="38"/>
  <c r="O17" i="38" s="1"/>
  <c r="L12" i="1" s="1"/>
  <c r="F19" i="66"/>
  <c r="F17" i="66" s="1"/>
  <c r="P19" i="1" s="1"/>
  <c r="D19" i="60"/>
  <c r="D20" i="60" s="1"/>
  <c r="D17" i="55"/>
  <c r="N6" i="1" s="1"/>
  <c r="O19" i="61"/>
  <c r="I17" i="56"/>
  <c r="S7" i="1" s="1"/>
  <c r="L67" i="69"/>
  <c r="O17" i="63"/>
  <c r="L15" i="1" s="1"/>
  <c r="H17" i="55"/>
  <c r="R6" i="1" s="1"/>
  <c r="E19" i="60"/>
  <c r="E17" i="55"/>
  <c r="O6" i="1" s="1"/>
  <c r="I32" i="69"/>
  <c r="G65" i="69"/>
  <c r="F19" i="56"/>
  <c r="H65" i="69"/>
  <c r="G18" i="56"/>
  <c r="G19" i="60"/>
  <c r="G17" i="55"/>
  <c r="Q6" i="1" s="1"/>
  <c r="E32" i="69"/>
  <c r="D17" i="56"/>
  <c r="N7" i="1" s="1"/>
  <c r="E64" i="69"/>
  <c r="F17" i="55"/>
  <c r="P6" i="1" s="1"/>
  <c r="F19" i="60"/>
  <c r="H18" i="56"/>
  <c r="I33" i="69"/>
  <c r="O19" i="55"/>
  <c r="G64" i="69"/>
  <c r="F18" i="56"/>
  <c r="G33" i="69"/>
  <c r="H32" i="69"/>
  <c r="G19" i="56"/>
  <c r="G32" i="69"/>
  <c r="H19" i="56"/>
  <c r="I17" i="66"/>
  <c r="S19" i="1" s="1"/>
  <c r="K17" i="66"/>
  <c r="U19" i="1" s="1"/>
  <c r="C17" i="68"/>
  <c r="M18" i="1" s="1"/>
  <c r="O19" i="68"/>
  <c r="O17" i="68" s="1"/>
  <c r="L18" i="1" s="1"/>
  <c r="F17" i="61"/>
  <c r="P9" i="1" s="1"/>
  <c r="J17" i="66"/>
  <c r="T19" i="1" s="1"/>
  <c r="N17" i="66"/>
  <c r="X19" i="1" s="1"/>
  <c r="H17" i="66"/>
  <c r="R19" i="1" s="1"/>
  <c r="G17" i="66"/>
  <c r="Q19" i="1" s="1"/>
  <c r="D17" i="66"/>
  <c r="N19" i="1" s="1"/>
  <c r="C17" i="66"/>
  <c r="M19" i="1" s="1"/>
  <c r="F37" i="69" l="1"/>
  <c r="E18" i="60" s="1"/>
  <c r="O18" i="56"/>
  <c r="O17" i="55"/>
  <c r="L6" i="1" s="1"/>
  <c r="D37" i="69"/>
  <c r="C18" i="60" s="1"/>
  <c r="C17" i="60" s="1"/>
  <c r="M8" i="1" s="1"/>
  <c r="G37" i="69"/>
  <c r="F18" i="60" s="1"/>
  <c r="I37" i="69"/>
  <c r="H18" i="60" s="1"/>
  <c r="E67" i="69"/>
  <c r="E37" i="69"/>
  <c r="D18" i="60" s="1"/>
  <c r="D17" i="60" s="1"/>
  <c r="N8" i="1" s="1"/>
  <c r="O19" i="66"/>
  <c r="O17" i="66" s="1"/>
  <c r="L19" i="1" s="1"/>
  <c r="H67" i="69"/>
  <c r="H37" i="69"/>
  <c r="G18" i="60" s="1"/>
  <c r="I67" i="69"/>
  <c r="G17" i="56"/>
  <c r="Q7" i="1" s="1"/>
  <c r="F17" i="56"/>
  <c r="P7" i="1" s="1"/>
  <c r="H17" i="56"/>
  <c r="R7" i="1" s="1"/>
  <c r="G67" i="69"/>
  <c r="O19" i="60"/>
  <c r="O19" i="56"/>
  <c r="E20" i="60"/>
  <c r="G17" i="61"/>
  <c r="Q9" i="1" s="1"/>
  <c r="O17" i="56" l="1"/>
  <c r="L7" i="1" s="1"/>
  <c r="O18" i="60"/>
  <c r="F20" i="60"/>
  <c r="E17" i="60"/>
  <c r="O8" i="1" s="1"/>
  <c r="H17" i="61"/>
  <c r="R9" i="1" s="1"/>
  <c r="I17" i="61" l="1"/>
  <c r="S9" i="1" s="1"/>
  <c r="F17" i="60"/>
  <c r="P8" i="1" s="1"/>
  <c r="G20" i="60"/>
  <c r="H20" i="60" l="1"/>
  <c r="G17" i="60"/>
  <c r="Q8" i="1" s="1"/>
  <c r="J17" i="61"/>
  <c r="T9" i="1" s="1"/>
  <c r="K17" i="61" l="1"/>
  <c r="U9" i="1" s="1"/>
  <c r="H17" i="60"/>
  <c r="R8" i="1" s="1"/>
  <c r="I20" i="60"/>
  <c r="J20" i="60" l="1"/>
  <c r="I17" i="60"/>
  <c r="S8" i="1" s="1"/>
  <c r="L17" i="61"/>
  <c r="V9" i="1" s="1"/>
  <c r="M17" i="61" l="1"/>
  <c r="W9" i="1" s="1"/>
  <c r="K20" i="60"/>
  <c r="J17" i="60"/>
  <c r="T8" i="1" s="1"/>
  <c r="K17" i="60" l="1"/>
  <c r="U8" i="1" s="1"/>
  <c r="L20" i="60"/>
  <c r="N17" i="61"/>
  <c r="X9" i="1" s="1"/>
  <c r="O20" i="61"/>
  <c r="O17" i="61" s="1"/>
  <c r="L9" i="1" s="1"/>
  <c r="M20" i="60" l="1"/>
  <c r="L17" i="60"/>
  <c r="V8" i="1" s="1"/>
  <c r="N20" i="60" l="1"/>
  <c r="M17" i="60"/>
  <c r="W8" i="1" s="1"/>
  <c r="N17" i="60" l="1"/>
  <c r="X8" i="1" s="1"/>
  <c r="O20" i="60"/>
  <c r="O17" i="60" s="1"/>
  <c r="L8" i="1" s="1"/>
</calcChain>
</file>

<file path=xl/comments1.xml><?xml version="1.0" encoding="utf-8"?>
<comments xmlns="http://schemas.openxmlformats.org/spreadsheetml/2006/main">
  <authors>
    <author>WILSON</author>
  </authors>
  <commentList>
    <comment ref="J4" authorId="0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<sst xmlns="http://schemas.openxmlformats.org/spreadsheetml/2006/main" count="1291" uniqueCount="295">
  <si>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</si>
  <si>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</si>
  <si>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</si>
  <si>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</si>
  <si>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</si>
  <si>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</si>
  <si>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</si>
  <si>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</si>
  <si>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</si>
  <si>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</si>
  <si>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</si>
  <si>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</si>
  <si>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</si>
  <si>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</si>
  <si>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</si>
  <si>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</si>
  <si>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</si>
  <si>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</si>
  <si>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</si>
  <si>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</si>
  <si>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</si>
  <si>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</si>
  <si>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</si>
  <si>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</si>
  <si>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</si>
  <si>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</si>
  <si>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</si>
  <si>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</si>
  <si>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</si>
  <si>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</si>
  <si>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</si>
  <si>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</si>
  <si>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</si>
  <si>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</si>
  <si>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</si>
  <si>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</si>
  <si>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</si>
  <si>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</si>
  <si>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</si>
  <si>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</si>
  <si>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</si>
  <si>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</si>
  <si>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</si>
  <si>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IN03</t>
  </si>
  <si>
    <t>IN04</t>
  </si>
  <si>
    <t>IN05</t>
  </si>
  <si>
    <t>IN06</t>
  </si>
  <si>
    <t>IN07</t>
  </si>
  <si>
    <t>IN08</t>
  </si>
  <si>
    <t>IN09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</si>
  <si>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</si>
  <si>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</si>
  <si>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</si>
  <si>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</si>
  <si>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</si>
  <si>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</si>
  <si>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</si>
  <si>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</si>
  <si>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</si>
  <si>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</si>
  <si>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</si>
  <si>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</si>
  <si>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</si>
  <si>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</si>
  <si>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</si>
  <si>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</si>
  <si>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</si>
  <si>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</si>
  <si>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</si>
  <si>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</si>
  <si>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</si>
  <si>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</si>
  <si>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</si>
  <si>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</si>
  <si>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</si>
  <si>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</si>
  <si>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</si>
  <si>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</si>
  <si>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</si>
  <si>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</si>
  <si>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</si>
  <si>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</si>
  <si>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</si>
  <si>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</si>
  <si>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</si>
  <si>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</si>
  <si>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</si>
  <si>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</si>
  <si>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</si>
  <si>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</si>
  <si>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</si>
  <si>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</si>
  <si>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</si>
  <si>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</si>
  <si>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AH-SP-</t>
  </si>
  <si>
    <t>IN10</t>
  </si>
  <si>
    <t>IN11</t>
  </si>
  <si>
    <t>IN12</t>
  </si>
  <si>
    <t>IN13</t>
  </si>
  <si>
    <t>Eficiencia de Recaudo  Corriente</t>
  </si>
  <si>
    <t>Eficiencia de Recaudo Total</t>
  </si>
  <si>
    <t>Cobertura de medición</t>
  </si>
  <si>
    <t>Calidad del Agua</t>
  </si>
  <si>
    <t>Índice de agua no contabilizada</t>
  </si>
  <si>
    <t>Continuidad del Servicio (Aseo)</t>
  </si>
  <si>
    <t>Disposición en Relleno Sanitario</t>
  </si>
  <si>
    <t>(Valor  Recaudado  Corriente Usuario Final / Valor  Facturado Corriente Usuario Final) x100%</t>
  </si>
  <si>
    <t>Menor al 59%</t>
  </si>
  <si>
    <t>Entre 60% y 79%</t>
  </si>
  <si>
    <t>Entre 80% y 100%</t>
  </si>
  <si>
    <t>(Valor  Recaudado  Total Usuario Final / Valor  Facturado TotalUsuario Final) x100%</t>
  </si>
  <si>
    <t>Entre 60% y 70%</t>
  </si>
  <si>
    <t>Entre 71% y 100%</t>
  </si>
  <si>
    <t>Días</t>
  </si>
  <si>
    <t>(Cuentas por Cobrar  a particulares y/o oficiales /  Valor Facturado Usuarios particulares y/o oficiales) x 365</t>
  </si>
  <si>
    <t xml:space="preserve">(Inversión realizada / Inversión presupuestada) x 100% </t>
  </si>
  <si>
    <t xml:space="preserve">(Residuos sólidos recolectada/ Residuos sólidos producidos) x 100%           </t>
  </si>
  <si>
    <t xml:space="preserve">Medición de acuerdo al IRCA          </t>
  </si>
  <si>
    <t>Mayor al 8%</t>
  </si>
  <si>
    <t>Entre el 5% y el 8%</t>
  </si>
  <si>
    <t>Menor al 5%</t>
  </si>
  <si>
    <t xml:space="preserve">(Volumen  producido - Volumen facturado /   Volumen  producido)   x 100          </t>
  </si>
  <si>
    <t>Mayor al 50%</t>
  </si>
  <si>
    <t>Entre el 30% y el 50%</t>
  </si>
  <si>
    <t>Menor al 30%</t>
  </si>
  <si>
    <t>Menor al 70%</t>
  </si>
  <si>
    <t>Entre 71% y 90%</t>
  </si>
  <si>
    <t>Entre 91% y 100%</t>
  </si>
  <si>
    <t>Mayor a 45 días</t>
  </si>
  <si>
    <t>Entre 31 y 45 días</t>
  </si>
  <si>
    <t>Menor a 31 días</t>
  </si>
  <si>
    <t>Vr. Facturado corriente usuario final</t>
  </si>
  <si>
    <t>Vr. recaudado corriente usuario final</t>
  </si>
  <si>
    <t>Vr. Total Facturado usuario final</t>
  </si>
  <si>
    <t>Vr. Total Recaudado usuario final</t>
  </si>
  <si>
    <t>Cuentas por cobrar a particulares y/o entidades oficiales</t>
  </si>
  <si>
    <t>Inversión Presupuestada</t>
  </si>
  <si>
    <t>No. de suscriptores</t>
  </si>
  <si>
    <t>No. de domicilios</t>
  </si>
  <si>
    <t>Residuos sólidos recolectados</t>
  </si>
  <si>
    <t>Residuos sólidos producidos</t>
  </si>
  <si>
    <t>No. de medidores en servicio</t>
  </si>
  <si>
    <t>Resultados medición metodológia IRCA</t>
  </si>
  <si>
    <t xml:space="preserve">Volumen producido </t>
  </si>
  <si>
    <t>Volumen facturado</t>
  </si>
  <si>
    <t>No. de días de recolección de residuos sólidos en el semestre</t>
  </si>
  <si>
    <t>Residuos sólidos en relleno sanitario</t>
  </si>
  <si>
    <t>(Residuos sólidos en relleno sanitario / Residuos sólidos producidos)     x 100    %</t>
  </si>
  <si>
    <t>Medir la eficiencia en el recaudo corriente de la prestación de los servicios pubicos domiciliarios de Aguas del Huila.</t>
  </si>
  <si>
    <t>Medir la eficiencia en el recaudo total de la prestación de los servicios pubicos domiciliarios de Aguas del Huila.</t>
  </si>
  <si>
    <t>Controlar la cartera existentes de servicios publicos por edades con el fin de evaluar la rotación de la misma.</t>
  </si>
  <si>
    <t>Realizar el seguimiento a la ejecución de la inversión establecida para la vigencia fiscal respectiva.</t>
  </si>
  <si>
    <t xml:space="preserve">Medir el grado de cobertura en   la prestación del servicio de alcantarillado administrado  por Aguas del Huila. </t>
  </si>
  <si>
    <t xml:space="preserve">Medir el grado de cobertura en   la prestación del servicio de acueducto administrado por Aguas del Huila. </t>
  </si>
  <si>
    <t xml:space="preserve">Medir el grado de cobertura en   la prestación del servicio de aseo administrado  por Aguas del Huila. </t>
  </si>
  <si>
    <t>Lograr que Aguas del Huila facture la totalidad del agua producida.</t>
  </si>
  <si>
    <t>Lograr que los suscriptores del servicio de acueducto de Aguas del Huila, tengan su instrumento medición.</t>
  </si>
  <si>
    <t>Prestar el servico de acueducto en forma continua las 24 horas.</t>
  </si>
  <si>
    <t>Recolectar los residuos solidos en los dias y rutas establecidas en el PEGIRS.</t>
  </si>
  <si>
    <t>Disponer la totalidad de los residuos solidos recolectados en el sitio de disposición final.</t>
  </si>
  <si>
    <t>IN14</t>
  </si>
  <si>
    <t>Monitorear la calidad de agua suministrada a los usuarios por parte de Aguas de Huila.</t>
  </si>
  <si>
    <t>PQR en la prestación del servicio.</t>
  </si>
  <si>
    <t>Medir el grado de satisfación de los suscriptores en la prestación del servicio.</t>
  </si>
  <si>
    <t>Entre 0 y 10%</t>
  </si>
  <si>
    <t>Entre 11% y el 20%</t>
  </si>
  <si>
    <t>Mayor al 21%</t>
  </si>
  <si>
    <t>Número de PQR recibidas</t>
  </si>
  <si>
    <t>Número de suscriptores del servicio</t>
  </si>
  <si>
    <t>Horas sin servicio mensual</t>
  </si>
  <si>
    <t>(720 - Horas sin servicio mensuales) / 720) * 100</t>
  </si>
  <si>
    <t>GESTIÓN DE SERVICIOS PÚBLICOS - PAICOL</t>
  </si>
  <si>
    <t>Inversión realizada por mes</t>
  </si>
  <si>
    <t>Inversión Acumulada en el periodo</t>
  </si>
  <si>
    <t>&lt; 5%</t>
  </si>
  <si>
    <t>&lt; 15%</t>
  </si>
  <si>
    <t>Cobertura   (Acueducto)</t>
  </si>
  <si>
    <t>Cobertura   (Alcantarillado)</t>
  </si>
  <si>
    <t xml:space="preserve">Cobertura   (Servicio de Aseo) </t>
  </si>
  <si>
    <t>Continuidad del servicio (Acueducto)</t>
  </si>
  <si>
    <t xml:space="preserve">Rotación de Cartera </t>
  </si>
  <si>
    <t>Ejecución de inversiones</t>
  </si>
  <si>
    <t>TABLERO DE INDICADORES BÁSICOS PARA EMPRESAS DE ACUEDUCTO, ALCANTARILLADO Y ASEO</t>
  </si>
  <si>
    <r>
      <t xml:space="preserve">MUNICIPIO : </t>
    </r>
    <r>
      <rPr>
        <sz val="16"/>
        <rFont val="Arial"/>
        <family val="2"/>
      </rPr>
      <t>PAICOL</t>
    </r>
  </si>
  <si>
    <t>INFORMACIÓN REQUERIDA</t>
  </si>
  <si>
    <t>Unidad</t>
  </si>
  <si>
    <t>Domicilios</t>
  </si>
  <si>
    <t>Suscriptores de Acueducto</t>
  </si>
  <si>
    <t>Suscriptores</t>
  </si>
  <si>
    <t>Suscriptores de Alcantarillado</t>
  </si>
  <si>
    <t>Suscriptores de Aseo</t>
  </si>
  <si>
    <t>Volúmen de agua producida</t>
  </si>
  <si>
    <t>(m3/mes)</t>
  </si>
  <si>
    <t>Volúmen de agua facturada</t>
  </si>
  <si>
    <t>($/mes)</t>
  </si>
  <si>
    <t>Gastos totales</t>
  </si>
  <si>
    <t>Costos de personal</t>
  </si>
  <si>
    <t xml:space="preserve">Valor facturado Corriente servicio de Acueducto </t>
  </si>
  <si>
    <t>Valor recaudado Corriente servicio de Acueducto</t>
  </si>
  <si>
    <t>Valor facturado Corriente servicio de Alcantarillado</t>
  </si>
  <si>
    <t>Valor recaudado Corriente servicio de Alcantarillado</t>
  </si>
  <si>
    <t>Valor facturado Corriente servicio de Aseo</t>
  </si>
  <si>
    <t>Valor recaudado Corriente servicio de Aseo</t>
  </si>
  <si>
    <t>Valor facturado Deuda servicio de Acueducto</t>
  </si>
  <si>
    <t>Valor recaudado Deuda  servicio de Acueducto</t>
  </si>
  <si>
    <t>Valor facturado Deuda  servicio de Alcantarillado</t>
  </si>
  <si>
    <t>Valor recaudadoDeuda   servicio de Alcantarillado</t>
  </si>
  <si>
    <t>Valor facturado Deuda   servicio de Aseo</t>
  </si>
  <si>
    <t>Valor recaudado Deuda  servicio de Aseo</t>
  </si>
  <si>
    <t>Valor facturado Total servicio de Acueducto</t>
  </si>
  <si>
    <t>Valor recaudado Total servicio de Acueducto</t>
  </si>
  <si>
    <t>Valor facturado Total servicio de Alcantarillado</t>
  </si>
  <si>
    <t>Valor recaudado Total  servicio de Alcantarillado</t>
  </si>
  <si>
    <t>Valor facturado Total servicio de Aseo</t>
  </si>
  <si>
    <t>Valor recaudado Total  servicio de Aseo</t>
  </si>
  <si>
    <t>Gran total facturado</t>
  </si>
  <si>
    <t>Gran total recaudado</t>
  </si>
  <si>
    <t>Calidad bacteriológica</t>
  </si>
  <si>
    <t>Cumple</t>
  </si>
  <si>
    <t>Calidad fisicoquiímica</t>
  </si>
  <si>
    <t>Toneladas dispuestas Aseo</t>
  </si>
  <si>
    <t>Total Facturado Corriente</t>
  </si>
  <si>
    <t>Total Recaudado Corriente</t>
  </si>
  <si>
    <t>Total Facturado deuda</t>
  </si>
  <si>
    <t>Total Recaudado deuda</t>
  </si>
  <si>
    <t>Eficiencia Corriente Total</t>
  </si>
  <si>
    <t>Eficiencia Deuda Total</t>
  </si>
  <si>
    <t>INDICADORES</t>
  </si>
  <si>
    <t>Cobertura de Acueducto</t>
  </si>
  <si>
    <t>(%)</t>
  </si>
  <si>
    <t>Cobertura de Alcantarillado</t>
  </si>
  <si>
    <t>Cobertura de Aseo</t>
  </si>
  <si>
    <t>Calidad del agua</t>
  </si>
  <si>
    <t>Apta / No Apta</t>
  </si>
  <si>
    <t>Índice de Agua No Contabilizada</t>
  </si>
  <si>
    <t>Eficiencia  recaudo Corriente Acueducto</t>
  </si>
  <si>
    <t>Eficiencia  recaudo Corriente  Alcantarillado</t>
  </si>
  <si>
    <t>Eficiencia  recaudo Corriente Aseo</t>
  </si>
  <si>
    <t>Eficiencia  recaudo Deuda Acueducto</t>
  </si>
  <si>
    <t>Eficiencia  recaudo Deuda  Alcantarillado</t>
  </si>
  <si>
    <t>Eficiencia  recaudo Deuda Aseo</t>
  </si>
  <si>
    <t>Eficiencia recaudo Total  Acueducto</t>
  </si>
  <si>
    <t>Eficiencia recaudo Total  Alcantarillado</t>
  </si>
  <si>
    <t>Eficiencia recaudo Total Aseo</t>
  </si>
  <si>
    <t>Eficiencia recaudo Total</t>
  </si>
  <si>
    <t>Eficiencia laboral Acueducto y Alcantarillado</t>
  </si>
  <si>
    <t>($/m3)</t>
  </si>
  <si>
    <t>Utilidad neta</t>
  </si>
  <si>
    <t>INDICADORES DE COBERTURA</t>
  </si>
  <si>
    <t>COBERTURAS DE SERVICIO</t>
  </si>
  <si>
    <t>Vr. Facturado usuarios particulares y/o entidades oficiales - Mes</t>
  </si>
  <si>
    <t>Vr. Facturado usuarios particulares y/o entidades oficiales - Acumulado</t>
  </si>
  <si>
    <t>AGUAS DEL HUILA S.A. E.S.P.</t>
  </si>
  <si>
    <t>EMPRESA:</t>
  </si>
  <si>
    <t xml:space="preserve">(Número de Suscriptores servicio de acueducto / Número de Domicilios) x 100% </t>
  </si>
  <si>
    <t xml:space="preserve">(Número de Suscriptores servicio alcantarillado / Número de Domicilios) x 100%  </t>
  </si>
  <si>
    <t xml:space="preserve">(Número de Medidores en servicio / Número de Suscriptores) x 100%          </t>
  </si>
  <si>
    <t>Número de dias de recolección de residuos sólidos por semestre / 144</t>
  </si>
  <si>
    <t>Número de PQR recibidas / número de suscriptores del servicio*100</t>
  </si>
  <si>
    <t>No. de suscriptores servicio acueducto</t>
  </si>
  <si>
    <t>No. de suscriptores servicio alcantarillado</t>
  </si>
  <si>
    <t>No de horas sin servicio</t>
  </si>
  <si>
    <t>No. de PQR recibidas</t>
  </si>
  <si>
    <t>|||</t>
  </si>
  <si>
    <t>*</t>
  </si>
  <si>
    <t>RESULTADOS DE LA VIGENCIA</t>
  </si>
  <si>
    <t>Volúmen de vertimiento de alcantarillado facturado</t>
  </si>
  <si>
    <t>&lt; 1%</t>
  </si>
  <si>
    <t>META 2018</t>
  </si>
  <si>
    <t>RESULTADOS VIGENCIA 2018</t>
  </si>
  <si>
    <t>VIGENCIA 2018</t>
  </si>
  <si>
    <t>META  AÑO 2018</t>
  </si>
  <si>
    <t>Se cumple el indicador, la empresa adelanta acciones de cobro persuasivo y coactivo</t>
  </si>
  <si>
    <t>se cumple el indicador debido a las acciones adelantadas especialmente el corte del servicio.</t>
  </si>
  <si>
    <t>Como resultado de las acciones de recaudo, la rotacione es baja y se cumple con el indicador</t>
  </si>
  <si>
    <t>Este indicador se mide trimestralmente.  A la fecha no se han realizado inversiones con recursos propios</t>
  </si>
  <si>
    <t>NO se han hecho inversiones con recaudos propios</t>
  </si>
  <si>
    <t>La cobertura se ha mantenido y esta cercana a la meta.  No se cumple el 100% debido a que algunos lotes no tiienen servicio y se han contabilidado como predios.</t>
  </si>
  <si>
    <t xml:space="preserve">Al igual que el servicio de alcantarillado, algunos lotes no tienen servicio y existen algunos predios sin alcantarillado </t>
  </si>
  <si>
    <t>Para este servicio se cumple el indicador pues la totalidad de los residuos son depositados en el relleno sanitario</t>
  </si>
  <si>
    <t>Se cumple el indicador.  La empresa adelanta acciones cada mes para detectar medidores en mal estado para su reposicion-</t>
  </si>
  <si>
    <t>Se cumple el indicador.  La empresa hace visitas periodica para revisar los medidores.</t>
  </si>
  <si>
    <t>Se cumple el indicador.  La empresa adelanta acciones cada mes en la toma de lecturas para verificar el estado de los micromedidores.</t>
  </si>
  <si>
    <t>De acuerdo a los exames de laboratorio, se entrega agua apta para el consumo humano.</t>
  </si>
  <si>
    <t>No se cumple el indicador debido a las perdidas de agua en los tanque de almacenamiento. Se esta en el proceso de entrega de nueva planta de tratamiento</t>
  </si>
  <si>
    <t>Se solicito a la gerencia adelantar la acciones para la pronta entrega de la planta de tratamiento.</t>
  </si>
  <si>
    <t>Se espera que el contratista termine las obras para recibir la planta</t>
  </si>
  <si>
    <t>Se solicita de nuevo la entrega de la nueva planta</t>
  </si>
  <si>
    <t xml:space="preserve">Se cumple el indicador, las quejas por facturacion son minimas. </t>
  </si>
  <si>
    <t>La totalidad de los residuos son depositados en el relleno sanitario.</t>
  </si>
  <si>
    <t xml:space="preserve">Se cumple con los dias de recoleccion. </t>
  </si>
  <si>
    <t xml:space="preserve">No se cumple el indicador, la suspensiones totales fueron de 19 horas.  </t>
  </si>
  <si>
    <t xml:space="preserve">No se cumple el indicador, la suspensiones totales fueron de 21 horas.  </t>
  </si>
  <si>
    <t>No se cumple el indicador, la suspensiones totales fueron de 17 horas.  Las causas son daños en la red.</t>
  </si>
  <si>
    <t>No se cumple el indicador, la suspensiones totales fueron de 23 horas.   Se presentaron daños en la 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</si>
</sst>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"/>
    <numFmt numFmtId="168" formatCode="_-* #,##0_-;\-* #,##0_-;_-* &quot;-&quot;??_-;_-@_-"/>
    <numFmt numFmtId="169" formatCode="#,##0.000"/>
    <numFmt numFmtId="170" formatCode="_ * #,##0.00_ ;_ * \-#,##0.00_ ;_ * &quot;-&quot;??_ ;_ @_ "/>
    <numFmt numFmtId="171" formatCode="_-* #,##0.0000_-;\-* #,##0.0000_-;_-* &quot;-&quot;??_-;_-@_-"/>
    <numFmt numFmtId="172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170" fontId="1" fillId="0" borderId="0" applyFont="0" applyFill="0" applyBorder="0" applyAlignment="0" applyProtection="0"/>
    <xf numFmtId="0" fontId="25" fillId="0" borderId="0"/>
    <xf numFmtId="0" fontId="25" fillId="0" borderId="0"/>
    <xf numFmtId="164" fontId="25" fillId="0" borderId="0" applyFont="0" applyFill="0" applyBorder="0" applyAlignment="0" applyProtection="0"/>
  </cellStyleXfs>
  <cellXfs count="302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5" fontId="8" fillId="7" borderId="1" xfId="1" applyNumberFormat="1" applyFont="1" applyFill="1" applyBorder="1" applyAlignment="1">
      <alignment horizontal="right" vertical="center"/>
    </xf>
    <xf numFmtId="165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66" fontId="8" fillId="0" borderId="22" xfId="1" applyNumberFormat="1" applyFont="1" applyBorder="1" applyAlignment="1">
      <alignment vertical="center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166" fontId="8" fillId="7" borderId="29" xfId="1" applyNumberFormat="1" applyFont="1" applyFill="1" applyBorder="1" applyAlignment="1">
      <alignment vertical="center"/>
    </xf>
    <xf numFmtId="165" fontId="9" fillId="7" borderId="12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vertical="center"/>
    </xf>
    <xf numFmtId="3" fontId="8" fillId="7" borderId="15" xfId="1" applyNumberFormat="1" applyFont="1" applyFill="1" applyBorder="1" applyAlignment="1">
      <alignment vertical="center"/>
    </xf>
    <xf numFmtId="165" fontId="14" fillId="0" borderId="1" xfId="1" applyNumberFormat="1" applyFont="1" applyFill="1" applyBorder="1" applyAlignment="1">
      <alignment vertical="center"/>
    </xf>
    <xf numFmtId="0" fontId="14" fillId="7" borderId="30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textRotation="90" wrapText="1"/>
    </xf>
    <xf numFmtId="165" fontId="15" fillId="0" borderId="36" xfId="0" applyNumberFormat="1" applyFont="1" applyBorder="1" applyAlignment="1">
      <alignment horizontal="center" vertical="center" textRotation="90" wrapText="1"/>
    </xf>
    <xf numFmtId="0" fontId="15" fillId="8" borderId="36" xfId="0" applyFont="1" applyFill="1" applyBorder="1" applyAlignment="1">
      <alignment horizontal="center" vertical="center" textRotation="90" wrapText="1"/>
    </xf>
    <xf numFmtId="0" fontId="19" fillId="5" borderId="36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7" fontId="9" fillId="7" borderId="12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6" xfId="1" applyFont="1" applyBorder="1" applyAlignment="1">
      <alignment horizontal="justify" vertical="top" wrapText="1"/>
    </xf>
    <xf numFmtId="0" fontId="17" fillId="0" borderId="36" xfId="0" applyFont="1" applyBorder="1" applyAlignment="1">
      <alignment horizontal="justify" vertical="top" wrapText="1"/>
    </xf>
    <xf numFmtId="165" fontId="10" fillId="0" borderId="1" xfId="1" applyNumberFormat="1" applyFont="1" applyFill="1" applyBorder="1" applyAlignment="1">
      <alignment vertical="center"/>
    </xf>
    <xf numFmtId="49" fontId="5" fillId="0" borderId="36" xfId="0" applyNumberFormat="1" applyFont="1" applyFill="1" applyBorder="1" applyAlignment="1">
      <alignment horizontal="center" vertical="top"/>
    </xf>
    <xf numFmtId="0" fontId="16" fillId="0" borderId="36" xfId="0" applyFont="1" applyFill="1" applyBorder="1" applyAlignment="1">
      <alignment vertical="top" wrapText="1"/>
    </xf>
    <xf numFmtId="0" fontId="16" fillId="0" borderId="37" xfId="0" applyFont="1" applyFill="1" applyBorder="1" applyAlignment="1">
      <alignment horizontal="left" vertical="top" wrapText="1"/>
    </xf>
    <xf numFmtId="0" fontId="20" fillId="0" borderId="0" xfId="0" applyFont="1"/>
    <xf numFmtId="0" fontId="24" fillId="0" borderId="0" xfId="0" applyFont="1"/>
    <xf numFmtId="0" fontId="2" fillId="0" borderId="36" xfId="0" applyFont="1" applyFill="1" applyBorder="1" applyAlignment="1">
      <alignment horizontal="center" vertical="center" textRotation="90" wrapText="1"/>
    </xf>
    <xf numFmtId="9" fontId="3" fillId="0" borderId="36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vertical="center"/>
    </xf>
    <xf numFmtId="167" fontId="15" fillId="0" borderId="36" xfId="0" applyNumberFormat="1" applyFont="1" applyBorder="1" applyAlignment="1">
      <alignment horizontal="center" vertical="center" textRotation="90" wrapText="1"/>
    </xf>
    <xf numFmtId="0" fontId="9" fillId="0" borderId="22" xfId="1" applyFont="1" applyBorder="1" applyAlignment="1">
      <alignment horizontal="justify" vertical="top" wrapText="1"/>
    </xf>
    <xf numFmtId="3" fontId="8" fillId="7" borderId="1" xfId="1" applyNumberFormat="1" applyFont="1" applyFill="1" applyBorder="1" applyAlignment="1">
      <alignment horizontal="right" vertical="center"/>
    </xf>
    <xf numFmtId="3" fontId="8" fillId="7" borderId="15" xfId="1" applyNumberFormat="1" applyFont="1" applyFill="1" applyBorder="1" applyAlignment="1">
      <alignment horizontal="right" vertical="center"/>
    </xf>
    <xf numFmtId="9" fontId="0" fillId="0" borderId="0" xfId="2" applyFont="1"/>
    <xf numFmtId="3" fontId="9" fillId="0" borderId="1" xfId="1" applyNumberFormat="1" applyFont="1" applyBorder="1" applyAlignment="1">
      <alignment vertical="center"/>
    </xf>
    <xf numFmtId="1" fontId="9" fillId="7" borderId="12" xfId="1" applyNumberFormat="1" applyFont="1" applyFill="1" applyBorder="1" applyAlignment="1">
      <alignment horizontal="center" vertical="center" wrapText="1"/>
    </xf>
    <xf numFmtId="3" fontId="9" fillId="7" borderId="15" xfId="1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right" vertical="center"/>
    </xf>
    <xf numFmtId="4" fontId="8" fillId="7" borderId="15" xfId="1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0" fontId="8" fillId="7" borderId="15" xfId="1" applyNumberFormat="1" applyFont="1" applyFill="1" applyBorder="1" applyAlignment="1">
      <alignment vertical="center"/>
    </xf>
    <xf numFmtId="0" fontId="1" fillId="0" borderId="0" xfId="1"/>
    <xf numFmtId="0" fontId="1" fillId="0" borderId="0" xfId="1" applyBorder="1"/>
    <xf numFmtId="0" fontId="1" fillId="0" borderId="0" xfId="1" applyFill="1"/>
    <xf numFmtId="165" fontId="15" fillId="0" borderId="36" xfId="0" applyNumberFormat="1" applyFont="1" applyFill="1" applyBorder="1" applyAlignment="1">
      <alignment horizontal="center" vertical="center" textRotation="90" wrapText="1"/>
    </xf>
    <xf numFmtId="167" fontId="15" fillId="0" borderId="36" xfId="0" applyNumberFormat="1" applyFont="1" applyFill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/>
    </xf>
    <xf numFmtId="165" fontId="8" fillId="7" borderId="1" xfId="1" applyNumberFormat="1" applyFont="1" applyFill="1" applyBorder="1" applyAlignment="1">
      <alignment horizontal="center" vertical="center"/>
    </xf>
    <xf numFmtId="165" fontId="8" fillId="7" borderId="1" xfId="1" applyNumberFormat="1" applyFont="1" applyFill="1" applyBorder="1" applyAlignment="1">
      <alignment horizontal="center"/>
    </xf>
    <xf numFmtId="165" fontId="8" fillId="7" borderId="15" xfId="1" applyNumberFormat="1" applyFont="1" applyFill="1" applyBorder="1" applyAlignment="1">
      <alignment horizontal="center" vertical="center"/>
    </xf>
    <xf numFmtId="165" fontId="8" fillId="7" borderId="15" xfId="1" applyNumberFormat="1" applyFont="1" applyFill="1" applyBorder="1" applyAlignment="1">
      <alignment horizontal="center"/>
    </xf>
    <xf numFmtId="2" fontId="8" fillId="0" borderId="1" xfId="1" applyNumberFormat="1" applyFont="1" applyBorder="1" applyAlignment="1">
      <alignment horizontal="center" vertical="center"/>
    </xf>
    <xf numFmtId="2" fontId="8" fillId="7" borderId="15" xfId="1" applyNumberFormat="1" applyFont="1" applyFill="1" applyBorder="1" applyAlignment="1">
      <alignment vertical="center"/>
    </xf>
    <xf numFmtId="2" fontId="8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justify" vertical="top" wrapText="1"/>
    </xf>
    <xf numFmtId="0" fontId="3" fillId="0" borderId="0" xfId="1" applyFont="1" applyBorder="1" applyAlignment="1" applyProtection="1">
      <protection locked="0"/>
    </xf>
    <xf numFmtId="0" fontId="2" fillId="0" borderId="0" xfId="1" applyFont="1"/>
    <xf numFmtId="0" fontId="1" fillId="0" borderId="0" xfId="1" applyFont="1" applyBorder="1" applyAlignment="1" applyProtection="1">
      <protection locked="0"/>
    </xf>
    <xf numFmtId="0" fontId="3" fillId="10" borderId="1" xfId="1" applyFont="1" applyFill="1" applyBorder="1" applyAlignment="1">
      <alignment horizontal="center" vertical="center"/>
    </xf>
    <xf numFmtId="17" fontId="29" fillId="10" borderId="1" xfId="1" applyNumberFormat="1" applyFont="1" applyFill="1" applyBorder="1" applyAlignment="1">
      <alignment horizontal="center" vertical="center"/>
    </xf>
    <xf numFmtId="0" fontId="1" fillId="0" borderId="0" xfId="1" applyFont="1"/>
    <xf numFmtId="10" fontId="1" fillId="0" borderId="1" xfId="1" applyNumberFormat="1" applyFont="1" applyBorder="1"/>
    <xf numFmtId="0" fontId="2" fillId="0" borderId="50" xfId="1" quotePrefix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8" fontId="1" fillId="0" borderId="1" xfId="3" applyNumberFormat="1" applyFont="1" applyBorder="1" applyAlignment="1" applyProtection="1">
      <alignment vertical="center"/>
      <protection locked="0"/>
    </xf>
    <xf numFmtId="0" fontId="2" fillId="11" borderId="51" xfId="1" quotePrefix="1" applyFont="1" applyFill="1" applyBorder="1" applyAlignment="1">
      <alignment horizontal="right" vertical="center"/>
    </xf>
    <xf numFmtId="0" fontId="2" fillId="11" borderId="1" xfId="1" applyFont="1" applyFill="1" applyBorder="1" applyAlignment="1">
      <alignment vertical="center"/>
    </xf>
    <xf numFmtId="0" fontId="2" fillId="11" borderId="1" xfId="1" applyFont="1" applyFill="1" applyBorder="1" applyAlignment="1">
      <alignment horizontal="center" vertical="center"/>
    </xf>
    <xf numFmtId="168" fontId="1" fillId="11" borderId="1" xfId="3" applyNumberFormat="1" applyFont="1" applyFill="1" applyBorder="1" applyAlignment="1" applyProtection="1">
      <alignment vertical="center"/>
      <protection locked="0"/>
    </xf>
    <xf numFmtId="0" fontId="2" fillId="0" borderId="51" xfId="1" quotePrefix="1" applyFont="1" applyBorder="1" applyAlignment="1">
      <alignment horizontal="right" vertical="center"/>
    </xf>
    <xf numFmtId="168" fontId="1" fillId="0" borderId="1" xfId="1" applyNumberFormat="1" applyFont="1" applyBorder="1" applyAlignment="1" applyProtection="1">
      <alignment vertical="center"/>
      <protection locked="0"/>
    </xf>
    <xf numFmtId="168" fontId="1" fillId="11" borderId="1" xfId="1" applyNumberFormat="1" applyFont="1" applyFill="1" applyBorder="1" applyAlignment="1" applyProtection="1">
      <alignment vertical="center"/>
      <protection locked="0"/>
    </xf>
    <xf numFmtId="171" fontId="1" fillId="11" borderId="1" xfId="1" applyNumberFormat="1" applyFont="1" applyFill="1" applyBorder="1" applyAlignment="1" applyProtection="1">
      <alignment vertical="center"/>
      <protection locked="0"/>
    </xf>
    <xf numFmtId="0" fontId="2" fillId="0" borderId="1" xfId="1" applyFont="1" applyFill="1" applyBorder="1" applyAlignment="1">
      <alignment horizontal="center" vertical="center"/>
    </xf>
    <xf numFmtId="168" fontId="1" fillId="13" borderId="1" xfId="3" applyNumberFormat="1" applyFont="1" applyFill="1" applyBorder="1" applyAlignment="1" applyProtection="1">
      <alignment vertical="center"/>
      <protection locked="0"/>
    </xf>
    <xf numFmtId="0" fontId="2" fillId="0" borderId="52" xfId="1" quotePrefix="1" applyFont="1" applyBorder="1" applyAlignment="1">
      <alignment horizontal="right" vertical="center"/>
    </xf>
    <xf numFmtId="0" fontId="2" fillId="11" borderId="0" xfId="1" applyFont="1" applyFill="1" applyAlignment="1">
      <alignment vertical="center"/>
    </xf>
    <xf numFmtId="0" fontId="1" fillId="11" borderId="1" xfId="1" applyFont="1" applyFill="1" applyBorder="1" applyAlignment="1" applyProtection="1">
      <alignment horizontal="center" vertical="center"/>
      <protection locked="0"/>
    </xf>
    <xf numFmtId="0" fontId="1" fillId="11" borderId="1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22" xfId="1" applyFont="1" applyBorder="1" applyAlignment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  <protection locked="0"/>
    </xf>
    <xf numFmtId="0" fontId="1" fillId="0" borderId="22" xfId="1" applyFont="1" applyFill="1" applyBorder="1" applyAlignment="1">
      <alignment horizontal="center" vertical="center"/>
    </xf>
    <xf numFmtId="0" fontId="2" fillId="0" borderId="53" xfId="1" quotePrefix="1" applyFont="1" applyBorder="1" applyAlignment="1">
      <alignment horizontal="right" vertical="center"/>
    </xf>
    <xf numFmtId="0" fontId="2" fillId="0" borderId="53" xfId="1" applyFont="1" applyFill="1" applyBorder="1" applyAlignment="1">
      <alignment vertical="center"/>
    </xf>
    <xf numFmtId="0" fontId="2" fillId="0" borderId="53" xfId="1" applyFont="1" applyBorder="1" applyAlignment="1">
      <alignment horizontal="center" vertical="center"/>
    </xf>
    <xf numFmtId="168" fontId="1" fillId="13" borderId="53" xfId="1" applyNumberFormat="1" applyFont="1" applyFill="1" applyBorder="1" applyAlignment="1" applyProtection="1">
      <alignment horizontal="center" vertical="center"/>
      <protection locked="0"/>
    </xf>
    <xf numFmtId="0" fontId="1" fillId="13" borderId="53" xfId="1" applyFont="1" applyFill="1" applyBorder="1" applyAlignment="1">
      <alignment horizontal="center" vertical="center"/>
    </xf>
    <xf numFmtId="0" fontId="2" fillId="11" borderId="1" xfId="1" quotePrefix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/>
    </xf>
    <xf numFmtId="17" fontId="1" fillId="12" borderId="49" xfId="1" applyNumberFormat="1" applyFont="1" applyFill="1" applyBorder="1" applyAlignment="1">
      <alignment horizontal="center" vertical="center"/>
    </xf>
    <xf numFmtId="17" fontId="1" fillId="12" borderId="1" xfId="1" applyNumberFormat="1" applyFont="1" applyFill="1" applyBorder="1" applyAlignment="1">
      <alignment horizontal="center" vertical="center"/>
    </xf>
    <xf numFmtId="0" fontId="2" fillId="0" borderId="1" xfId="1" quotePrefix="1" applyFont="1" applyBorder="1" applyAlignment="1">
      <alignment horizontal="right" vertical="center"/>
    </xf>
    <xf numFmtId="168" fontId="1" fillId="13" borderId="1" xfId="1" applyNumberFormat="1" applyFont="1" applyFill="1" applyBorder="1" applyAlignment="1" applyProtection="1">
      <alignment horizontal="center" vertical="center"/>
      <protection locked="0"/>
    </xf>
    <xf numFmtId="165" fontId="30" fillId="13" borderId="1" xfId="4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vertical="center"/>
    </xf>
    <xf numFmtId="9" fontId="1" fillId="13" borderId="1" xfId="4" applyNumberFormat="1" applyFont="1" applyFill="1" applyBorder="1" applyAlignment="1">
      <alignment horizontal="center" vertical="center"/>
    </xf>
    <xf numFmtId="10" fontId="1" fillId="13" borderId="1" xfId="4" applyNumberFormat="1" applyFont="1" applyFill="1" applyBorder="1" applyAlignment="1">
      <alignment horizontal="center" vertical="center"/>
    </xf>
    <xf numFmtId="9" fontId="1" fillId="13" borderId="1" xfId="4" applyFont="1" applyFill="1" applyBorder="1" applyAlignment="1">
      <alignment horizontal="center" vertical="center"/>
    </xf>
    <xf numFmtId="9" fontId="2" fillId="0" borderId="1" xfId="4" applyFont="1" applyFill="1" applyBorder="1" applyAlignment="1">
      <alignment horizontal="center" vertical="center"/>
    </xf>
    <xf numFmtId="169" fontId="1" fillId="13" borderId="1" xfId="1" applyNumberFormat="1" applyFont="1" applyFill="1" applyBorder="1" applyAlignment="1">
      <alignment horizontal="center" vertical="center"/>
    </xf>
    <xf numFmtId="168" fontId="1" fillId="13" borderId="1" xfId="3" applyNumberFormat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vertical="center"/>
    </xf>
    <xf numFmtId="165" fontId="10" fillId="7" borderId="15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10" fillId="7" borderId="15" xfId="1" applyNumberFormat="1" applyFont="1" applyFill="1" applyBorder="1" applyAlignment="1">
      <alignment vertical="center"/>
    </xf>
    <xf numFmtId="165" fontId="14" fillId="7" borderId="15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horizontal="right" vertical="center"/>
    </xf>
    <xf numFmtId="168" fontId="1" fillId="0" borderId="1" xfId="3" applyNumberFormat="1" applyFont="1" applyBorder="1" applyAlignment="1" applyProtection="1">
      <alignment horizontal="right" vertical="center"/>
      <protection locked="0"/>
    </xf>
    <xf numFmtId="172" fontId="1" fillId="0" borderId="1" xfId="9" applyNumberFormat="1" applyFont="1" applyFill="1" applyBorder="1" applyAlignment="1">
      <alignment horizontal="right" vertical="center"/>
    </xf>
    <xf numFmtId="1" fontId="8" fillId="7" borderId="1" xfId="1" applyNumberFormat="1" applyFont="1" applyFill="1" applyBorder="1" applyAlignment="1">
      <alignment horizontal="right" vertical="center"/>
    </xf>
    <xf numFmtId="172" fontId="1" fillId="0" borderId="1" xfId="9" applyNumberFormat="1" applyFont="1" applyFill="1" applyBorder="1" applyAlignment="1">
      <alignment vertical="center"/>
    </xf>
    <xf numFmtId="172" fontId="1" fillId="0" borderId="0" xfId="1" applyNumberFormat="1"/>
    <xf numFmtId="0" fontId="0" fillId="9" borderId="38" xfId="0" applyFill="1" applyBorder="1" applyAlignment="1">
      <alignment horizontal="center"/>
    </xf>
    <xf numFmtId="0" fontId="21" fillId="0" borderId="42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4" fillId="8" borderId="36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textRotation="90" wrapText="1"/>
    </xf>
    <xf numFmtId="0" fontId="6" fillId="8" borderId="36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textRotation="90" wrapText="1"/>
    </xf>
    <xf numFmtId="0" fontId="4" fillId="8" borderId="36" xfId="0" applyFont="1" applyFill="1" applyBorder="1" applyAlignment="1">
      <alignment horizontal="center" vertical="center" textRotation="90" wrapText="1"/>
    </xf>
    <xf numFmtId="0" fontId="18" fillId="8" borderId="33" xfId="0" applyFont="1" applyFill="1" applyBorder="1" applyAlignment="1">
      <alignment horizontal="right" vertical="center" wrapText="1"/>
    </xf>
    <xf numFmtId="0" fontId="18" fillId="8" borderId="34" xfId="0" applyFont="1" applyFill="1" applyBorder="1" applyAlignment="1">
      <alignment horizontal="right" vertical="center" wrapText="1"/>
    </xf>
    <xf numFmtId="0" fontId="26" fillId="0" borderId="34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10" fillId="7" borderId="2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6" xfId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4" fillId="7" borderId="18" xfId="1" applyFont="1" applyFill="1" applyBorder="1" applyAlignment="1">
      <alignment horizontal="center" vertical="center" textRotation="90"/>
    </xf>
    <xf numFmtId="0" fontId="14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3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7" borderId="11" xfId="1" applyFont="1" applyFill="1" applyBorder="1" applyAlignment="1">
      <alignment horizontal="justify" vertical="top" wrapText="1"/>
    </xf>
    <xf numFmtId="0" fontId="9" fillId="7" borderId="12" xfId="1" applyFont="1" applyFill="1" applyBorder="1" applyAlignment="1">
      <alignment horizontal="justify" vertical="top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5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5" xfId="1" applyFont="1" applyFill="1" applyBorder="1" applyAlignment="1">
      <alignment horizontal="left" vertical="center"/>
    </xf>
    <xf numFmtId="0" fontId="8" fillId="7" borderId="46" xfId="1" applyFont="1" applyFill="1" applyBorder="1" applyAlignment="1">
      <alignment horizontal="left" vertical="center"/>
    </xf>
    <xf numFmtId="0" fontId="8" fillId="7" borderId="47" xfId="1" applyFont="1" applyFill="1" applyBorder="1" applyAlignment="1">
      <alignment horizontal="left" vertical="center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3" fillId="7" borderId="17" xfId="1" applyFont="1" applyFill="1" applyBorder="1" applyAlignment="1">
      <alignment horizontal="center" vertical="center"/>
    </xf>
    <xf numFmtId="0" fontId="23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2" xfId="1" applyFont="1" applyFill="1" applyBorder="1" applyAlignment="1">
      <alignment horizontal="left" vertical="center"/>
    </xf>
    <xf numFmtId="0" fontId="10" fillId="7" borderId="29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0" fontId="10" fillId="7" borderId="27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2" fontId="10" fillId="7" borderId="32" xfId="1" applyNumberFormat="1" applyFont="1" applyFill="1" applyBorder="1" applyAlignment="1">
      <alignment horizontal="left" vertical="center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0" fillId="7" borderId="15" xfId="1" applyFont="1" applyFill="1" applyBorder="1" applyAlignment="1">
      <alignment horizontal="left" vertical="center"/>
    </xf>
    <xf numFmtId="0" fontId="9" fillId="7" borderId="11" xfId="1" applyFont="1" applyFill="1" applyBorder="1" applyAlignment="1">
      <alignment horizontal="left" vertical="top" wrapText="1"/>
    </xf>
    <xf numFmtId="0" fontId="9" fillId="7" borderId="12" xfId="1" applyFont="1" applyFill="1" applyBorder="1" applyAlignment="1">
      <alignment horizontal="left" vertical="top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1" fontId="10" fillId="7" borderId="25" xfId="1" applyNumberFormat="1" applyFont="1" applyFill="1" applyBorder="1" applyAlignment="1">
      <alignment horizontal="center" vertical="center"/>
    </xf>
    <xf numFmtId="1" fontId="10" fillId="7" borderId="26" xfId="1" applyNumberFormat="1" applyFont="1" applyFill="1" applyBorder="1" applyAlignment="1">
      <alignment horizontal="center" vertical="center"/>
    </xf>
    <xf numFmtId="1" fontId="10" fillId="7" borderId="27" xfId="1" applyNumberFormat="1" applyFont="1" applyFill="1" applyBorder="1" applyAlignment="1">
      <alignment horizontal="center" vertical="center"/>
    </xf>
    <xf numFmtId="0" fontId="14" fillId="7" borderId="21" xfId="1" applyFont="1" applyFill="1" applyBorder="1" applyAlignment="1">
      <alignment horizontal="center" vertical="center" textRotation="90"/>
    </xf>
    <xf numFmtId="0" fontId="9" fillId="7" borderId="30" xfId="1" applyFont="1" applyFill="1" applyBorder="1" applyAlignment="1">
      <alignment horizontal="justify" vertical="top" wrapText="1"/>
    </xf>
    <xf numFmtId="0" fontId="9" fillId="7" borderId="44" xfId="1" applyFont="1" applyFill="1" applyBorder="1" applyAlignment="1">
      <alignment horizontal="justify" vertical="top" wrapText="1"/>
    </xf>
    <xf numFmtId="0" fontId="0" fillId="0" borderId="44" xfId="0" applyBorder="1" applyAlignment="1">
      <alignment horizontal="justify" vertical="top"/>
    </xf>
    <xf numFmtId="0" fontId="3" fillId="0" borderId="0" xfId="1" applyFont="1" applyAlignment="1">
      <alignment horizontal="center"/>
    </xf>
    <xf numFmtId="0" fontId="29" fillId="0" borderId="0" xfId="1" applyFont="1" applyAlignment="1">
      <alignment horizontal="left"/>
    </xf>
    <xf numFmtId="0" fontId="27" fillId="0" borderId="0" xfId="1" applyFont="1" applyAlignment="1">
      <alignment horizontal="left"/>
    </xf>
    <xf numFmtId="0" fontId="28" fillId="0" borderId="0" xfId="1" applyFont="1" applyAlignment="1"/>
    <xf numFmtId="0" fontId="3" fillId="10" borderId="45" xfId="1" applyFont="1" applyFill="1" applyBorder="1" applyAlignment="1">
      <alignment horizontal="center" vertical="center"/>
    </xf>
    <xf numFmtId="0" fontId="3" fillId="10" borderId="49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1" fillId="0" borderId="0" xfId="1" applyFont="1" applyAlignment="1"/>
    <xf numFmtId="0" fontId="28" fillId="0" borderId="48" xfId="1" applyFont="1" applyBorder="1" applyAlignment="1" applyProtection="1">
      <alignment horizontal="center"/>
      <protection locked="0"/>
    </xf>
  </cellXfs>
  <cellStyles count="10">
    <cellStyle name="Millares" xfId="9" builtinId="3"/>
    <cellStyle name="Millares 2" xfId="6"/>
    <cellStyle name="Millares_Tablero de Indicadores" xfId="3"/>
    <cellStyle name="Normal" xfId="0" builtinId="0"/>
    <cellStyle name="Normal 2" xfId="1"/>
    <cellStyle name="Normal 7" xfId="5"/>
    <cellStyle name="Normal 8" xfId="8"/>
    <cellStyle name="Normal 9" xfId="7"/>
    <cellStyle name="Porcentaje" xfId="2" builtinId="5"/>
    <cellStyle name="Porcentaje 2" xfId="4"/>
  </cellStyles>
  <dxfs count="2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94-4FBB-B546-722671CF02AB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0.89706179407134967</c:v>
                </c:pt>
                <c:pt idx="1">
                  <c:v>0.91481892604412374</c:v>
                </c:pt>
                <c:pt idx="2">
                  <c:v>0.88252501667778516</c:v>
                </c:pt>
                <c:pt idx="3">
                  <c:v>0.8913297848141577</c:v>
                </c:pt>
                <c:pt idx="4">
                  <c:v>0.88776352481873955</c:v>
                </c:pt>
                <c:pt idx="5">
                  <c:v>0.89554898345563216</c:v>
                </c:pt>
                <c:pt idx="6">
                  <c:v>0.89308892592031508</c:v>
                </c:pt>
                <c:pt idx="7">
                  <c:v>0.81720470763870701</c:v>
                </c:pt>
                <c:pt idx="8">
                  <c:v>0.89083669243771302</c:v>
                </c:pt>
                <c:pt idx="9">
                  <c:v>0.84329020894333984</c:v>
                </c:pt>
                <c:pt idx="10">
                  <c:v>0.82684689925544186</c:v>
                </c:pt>
                <c:pt idx="11">
                  <c:v>0.86646737077249059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94-4FBB-B546-722671CF0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73760"/>
        <c:axId val="180375552"/>
      </c:lineChart>
      <c:catAx>
        <c:axId val="18037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0375552"/>
        <c:crosses val="autoZero"/>
        <c:auto val="1"/>
        <c:lblAlgn val="ctr"/>
        <c:lblOffset val="100"/>
        <c:noMultiLvlLbl val="0"/>
      </c:catAx>
      <c:valAx>
        <c:axId val="180375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3737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'10'!$C$16:$N$16</c:f>
              <c:numCache>
                <c:formatCode>0.0%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05-4272-BAF0-CB86EA4C451B}"/>
            </c:ext>
          </c:extLst>
        </c:ser>
        <c:ser>
          <c:idx val="1"/>
          <c:order val="1"/>
          <c:tx>
            <c:strRef>
              <c:f>'10'!$A$17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'10'!$C$17:$N$17</c:f>
              <c:numCache>
                <c:formatCode>0.0%</c:formatCode>
                <c:ptCount val="12"/>
                <c:pt idx="0">
                  <c:v>0.59827200953374049</c:v>
                </c:pt>
                <c:pt idx="1">
                  <c:v>0.64160508963186325</c:v>
                </c:pt>
                <c:pt idx="2">
                  <c:v>0.67483102870961742</c:v>
                </c:pt>
                <c:pt idx="3">
                  <c:v>0.61486444568521625</c:v>
                </c:pt>
                <c:pt idx="4">
                  <c:v>0.66711445459430418</c:v>
                </c:pt>
                <c:pt idx="5">
                  <c:v>0.60651621003831169</c:v>
                </c:pt>
                <c:pt idx="6">
                  <c:v>0.4925420754566483</c:v>
                </c:pt>
                <c:pt idx="7">
                  <c:v>0.36463521076141092</c:v>
                </c:pt>
                <c:pt idx="8">
                  <c:v>0.49399289790655393</c:v>
                </c:pt>
                <c:pt idx="9">
                  <c:v>0.51444152117305797</c:v>
                </c:pt>
                <c:pt idx="10">
                  <c:v>0.22333580507531015</c:v>
                </c:pt>
                <c:pt idx="11">
                  <c:v>0.60290875333616989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05-4272-BAF0-CB86EA4C4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4960"/>
        <c:axId val="180674944"/>
      </c:lineChart>
      <c:catAx>
        <c:axId val="18066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0674944"/>
        <c:crosses val="autoZero"/>
        <c:auto val="1"/>
        <c:lblAlgn val="ctr"/>
        <c:lblOffset val="100"/>
        <c:noMultiLvlLbl val="0"/>
      </c:catAx>
      <c:valAx>
        <c:axId val="1806749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664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88" l="0.70000000000000062" r="0.70000000000000062" t="0.75000000000000888" header="0.30000000000000032" footer="0.30000000000000032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82495744563123E-2"/>
          <c:y val="7.0393528677767742E-2"/>
          <c:w val="0.73457881090203481"/>
          <c:h val="0.7764223570414357"/>
        </c:manualLayout>
      </c:layout>
      <c:lineChart>
        <c:grouping val="standard"/>
        <c:varyColors val="0"/>
        <c:ser>
          <c:idx val="0"/>
          <c:order val="0"/>
          <c:tx>
            <c:strRef>
              <c:f>'11'!$A$16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'11'!$C$16:$N$16</c:f>
              <c:numCache>
                <c:formatCode>0%</c:formatCode>
                <c:ptCount val="12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F4-4509-8AFE-98D0A637BB63}"/>
            </c:ext>
          </c:extLst>
        </c:ser>
        <c:ser>
          <c:idx val="1"/>
          <c:order val="1"/>
          <c:tx>
            <c:strRef>
              <c:f>'11'!$A$17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'11'!$C$17:$N$17</c:f>
              <c:numCache>
                <c:formatCode>0.0%</c:formatCode>
                <c:ptCount val="12"/>
                <c:pt idx="0">
                  <c:v>0.97361111111111109</c:v>
                </c:pt>
                <c:pt idx="1">
                  <c:v>0.97083333333333333</c:v>
                </c:pt>
                <c:pt idx="2">
                  <c:v>0.97638888888888886</c:v>
                </c:pt>
                <c:pt idx="3">
                  <c:v>0.96805555555555556</c:v>
                </c:pt>
                <c:pt idx="4">
                  <c:v>0.97083333333333333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F4-4509-8AFE-98D0A637B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45248"/>
        <c:axId val="182246784"/>
      </c:lineChart>
      <c:catAx>
        <c:axId val="182245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2246784"/>
        <c:crosses val="autoZero"/>
        <c:auto val="1"/>
        <c:lblAlgn val="ctr"/>
        <c:lblOffset val="100"/>
        <c:noMultiLvlLbl val="0"/>
      </c:catAx>
      <c:valAx>
        <c:axId val="182246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2245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'12'!$C$16:$N$16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E2-44BC-B74D-854D86C8F105}"/>
            </c:ext>
          </c:extLst>
        </c:ser>
        <c:ser>
          <c:idx val="1"/>
          <c:order val="1"/>
          <c:tx>
            <c:strRef>
              <c:f>'12'!$A$17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'12'!$C$17:$N$17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E2-44BC-B74D-854D86C8F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99968"/>
        <c:axId val="184101504"/>
      </c:lineChart>
      <c:catAx>
        <c:axId val="18409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4101504"/>
        <c:crosses val="autoZero"/>
        <c:auto val="1"/>
        <c:lblAlgn val="ctr"/>
        <c:lblOffset val="100"/>
        <c:noMultiLvlLbl val="0"/>
      </c:catAx>
      <c:valAx>
        <c:axId val="184101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40999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'13'!$C$16:$N$16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12-4D72-B9D2-60AABAA1BC46}"/>
            </c:ext>
          </c:extLst>
        </c:ser>
        <c:ser>
          <c:idx val="1"/>
          <c:order val="1"/>
          <c:tx>
            <c:strRef>
              <c:f>'13'!$A$17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'13'!$C$17:$N$17</c:f>
              <c:numCache>
                <c:formatCode>0.0%</c:formatCode>
                <c:ptCount val="12"/>
                <c:pt idx="0">
                  <c:v>1.0471204188481676E-3</c:v>
                </c:pt>
                <c:pt idx="1">
                  <c:v>4.1797283176593526E-3</c:v>
                </c:pt>
                <c:pt idx="2">
                  <c:v>6.2630480167014616E-3</c:v>
                </c:pt>
                <c:pt idx="3">
                  <c:v>1.0405827263267431E-3</c:v>
                </c:pt>
                <c:pt idx="4">
                  <c:v>3.1152647975077881E-3</c:v>
                </c:pt>
                <c:pt idx="5">
                  <c:v>1.037344398340249E-3</c:v>
                </c:pt>
                <c:pt idx="6">
                  <c:v>2.0768431983385254E-3</c:v>
                </c:pt>
                <c:pt idx="7">
                  <c:v>5.175983436853002E-3</c:v>
                </c:pt>
                <c:pt idx="8">
                  <c:v>3.0991735537190084E-3</c:v>
                </c:pt>
                <c:pt idx="9">
                  <c:v>2.0661157024793389E-3</c:v>
                </c:pt>
                <c:pt idx="10">
                  <c:v>6.1983471074380167E-3</c:v>
                </c:pt>
                <c:pt idx="11">
                  <c:v>4.1279669762641896E-3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12-4D72-B9D2-60AABAA1B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48352"/>
        <c:axId val="184149888"/>
      </c:lineChart>
      <c:catAx>
        <c:axId val="1841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4149888"/>
        <c:crosses val="autoZero"/>
        <c:auto val="1"/>
        <c:lblAlgn val="ctr"/>
        <c:lblOffset val="100"/>
        <c:noMultiLvlLbl val="0"/>
      </c:catAx>
      <c:valAx>
        <c:axId val="184149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4148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EF-46B8-AE3F-91A3EE710F03}"/>
            </c:ext>
          </c:extLst>
        </c:ser>
        <c:ser>
          <c:idx val="1"/>
          <c:order val="1"/>
          <c:tx>
            <c:strRef>
              <c:f>'14'!$A$17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'14'!$C$17:$N$17</c:f>
              <c:numCache>
                <c:formatCode>0.0%</c:formatCode>
                <c:ptCount val="12"/>
                <c:pt idx="0">
                  <c:v>0.98018769551616269</c:v>
                </c:pt>
                <c:pt idx="1">
                  <c:v>0.98022892819979179</c:v>
                </c:pt>
                <c:pt idx="2">
                  <c:v>0.98024948024948022</c:v>
                </c:pt>
                <c:pt idx="3">
                  <c:v>0.98031088082901552</c:v>
                </c:pt>
                <c:pt idx="4">
                  <c:v>0.97731958762886595</c:v>
                </c:pt>
                <c:pt idx="5">
                  <c:v>0.97734294541709577</c:v>
                </c:pt>
                <c:pt idx="6">
                  <c:v>0.97731958762886595</c:v>
                </c:pt>
                <c:pt idx="7">
                  <c:v>0.97738951695786225</c:v>
                </c:pt>
                <c:pt idx="8">
                  <c:v>0.97743589743589743</c:v>
                </c:pt>
                <c:pt idx="9">
                  <c:v>0.97743589743589743</c:v>
                </c:pt>
                <c:pt idx="10">
                  <c:v>0.97743589743589743</c:v>
                </c:pt>
                <c:pt idx="11">
                  <c:v>0.97745901639344246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EF-46B8-AE3F-91A3EE7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07232"/>
        <c:axId val="131437696"/>
      </c:lineChart>
      <c:catAx>
        <c:axId val="13140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437696"/>
        <c:crosses val="autoZero"/>
        <c:auto val="1"/>
        <c:lblAlgn val="ctr"/>
        <c:lblOffset val="100"/>
        <c:noMultiLvlLbl val="0"/>
      </c:catAx>
      <c:valAx>
        <c:axId val="131437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4072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55" l="0.70000000000000062" r="0.70000000000000062" t="0.75000000000000955" header="0.30000000000000032" footer="0.30000000000000032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66"/>
      <c:hPercent val="57"/>
      <c:rotY val="39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56255841259646E-2"/>
          <c:y val="1.049871457388701E-2"/>
          <c:w val="0.91718819975904553"/>
          <c:h val="0.85826991641526362"/>
        </c:manualLayout>
      </c:layout>
      <c:bar3DChart>
        <c:barDir val="col"/>
        <c:grouping val="standard"/>
        <c:varyColors val="0"/>
        <c:ser>
          <c:idx val="0"/>
          <c:order val="0"/>
          <c:tx>
            <c:v>Acueducto</c:v>
          </c:tx>
          <c:invertIfNegative val="0"/>
          <c:dLbls>
            <c:dLbl>
              <c:idx val="0"/>
              <c:layout>
                <c:manualLayout>
                  <c:x val="3.1626562159270811E-3"/>
                  <c:y val="-0.103623181487003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C6-4B4E-9E81-1A5E1F193F05}"/>
                </c:ext>
              </c:extLst>
            </c:dLbl>
            <c:dLbl>
              <c:idx val="1"/>
              <c:layout>
                <c:manualLayout>
                  <c:x val="7.7893490880024093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C6-4B4E-9E81-1A5E1F193F05}"/>
                </c:ext>
              </c:extLst>
            </c:dLbl>
            <c:dLbl>
              <c:idx val="2"/>
              <c:layout>
                <c:manualLayout>
                  <c:x val="9.2910395758895748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C6-4B4E-9E81-1A5E1F193F05}"/>
                </c:ext>
              </c:extLst>
            </c:dLbl>
            <c:dLbl>
              <c:idx val="3"/>
              <c:layout>
                <c:manualLayout>
                  <c:x val="7.6677276795890596E-3"/>
                  <c:y val="-0.103623181487003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C6-4B4E-9E81-1A5E1F193F05}"/>
                </c:ext>
              </c:extLst>
            </c:dLbl>
            <c:dLbl>
              <c:idx val="4"/>
              <c:layout>
                <c:manualLayout>
                  <c:x val="9.1694181674763526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C6-4B4E-9E81-1A5E1F193F05}"/>
                </c:ext>
              </c:extLst>
            </c:dLbl>
            <c:dLbl>
              <c:idx val="5"/>
              <c:layout>
                <c:manualLayout>
                  <c:x val="1.3796111039551327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C6-4B4E-9E81-1A5E1F193F05}"/>
                </c:ext>
              </c:extLst>
            </c:dLbl>
            <c:dLbl>
              <c:idx val="6"/>
              <c:layout>
                <c:manualLayout>
                  <c:x val="1.5297965569433402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C6-4B4E-9E81-1A5E1F193F05}"/>
                </c:ext>
              </c:extLst>
            </c:dLbl>
            <c:dLbl>
              <c:idx val="7"/>
              <c:layout>
                <c:manualLayout>
                  <c:x val="1.6799656057320637E-2"/>
                  <c:y val="-8.000107369575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C6-4B4E-9E81-1A5E1F193F05}"/>
                </c:ext>
              </c:extLst>
            </c:dLbl>
            <c:dLbl>
              <c:idx val="8"/>
              <c:layout>
                <c:manualLayout>
                  <c:x val="1.8301346545207983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C6-4B4E-9E81-1A5E1F193F05}"/>
                </c:ext>
              </c:extLst>
            </c:dLbl>
            <c:dLbl>
              <c:idx val="9"/>
              <c:layout>
                <c:manualLayout>
                  <c:x val="1.9802872991101152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C6-4B4E-9E81-1A5E1F193F05}"/>
                </c:ext>
              </c:extLst>
            </c:dLbl>
            <c:dLbl>
              <c:idx val="10"/>
              <c:layout>
                <c:manualLayout>
                  <c:x val="2.1304727520982676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C6-4B4E-9E81-1A5E1F193F05}"/>
                </c:ext>
              </c:extLst>
            </c:dLbl>
            <c:dLbl>
              <c:idx val="11"/>
              <c:layout>
                <c:manualLayout>
                  <c:x val="2.280641800887092E-2"/>
                  <c:y val="-8.000107369575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C6-4B4E-9E81-1A5E1F193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'PAICOL-18'!$D$52:$G$52</c:f>
              <c:numCache>
                <c:formatCode>mmm\-yy</c:formatCode>
                <c:ptCount val="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</c:numCache>
            </c:numRef>
          </c:cat>
          <c:val>
            <c:numRef>
              <c:f>'PAICOL-18'!$D$53:$G$53</c:f>
              <c:numCache>
                <c:formatCode>0%</c:formatCode>
                <c:ptCount val="4"/>
                <c:pt idx="0">
                  <c:v>0.99582898852971846</c:v>
                </c:pt>
                <c:pt idx="1">
                  <c:v>0.99583766909469307</c:v>
                </c:pt>
                <c:pt idx="2">
                  <c:v>0.99584199584199584</c:v>
                </c:pt>
                <c:pt idx="3">
                  <c:v>0.99585492227979278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4C6-4B4E-9E81-1A5E1F193F05}"/>
            </c:ext>
          </c:extLst>
        </c:ser>
        <c:ser>
          <c:idx val="1"/>
          <c:order val="1"/>
          <c:tx>
            <c:v>Alcanatrillado</c:v>
          </c:tx>
          <c:invertIfNegative val="0"/>
          <c:dLbls>
            <c:dLbl>
              <c:idx val="0"/>
              <c:layout>
                <c:manualLayout>
                  <c:x val="6.5585229278869485E-3"/>
                  <c:y val="-0.13645575241341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C6-4B4E-9E81-1A5E1F193F05}"/>
                </c:ext>
              </c:extLst>
            </c:dLbl>
            <c:dLbl>
              <c:idx val="1"/>
              <c:layout>
                <c:manualLayout>
                  <c:x val="8.0602134157742467E-3"/>
                  <c:y val="-0.13908043105689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C6-4B4E-9E81-1A5E1F193F05}"/>
                </c:ext>
              </c:extLst>
            </c:dLbl>
            <c:dLbl>
              <c:idx val="2"/>
              <c:layout>
                <c:manualLayout>
                  <c:x val="3.3120631772811113E-3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C6-4B4E-9E81-1A5E1F193F05}"/>
                </c:ext>
              </c:extLst>
            </c:dLbl>
            <c:dLbl>
              <c:idx val="3"/>
              <c:layout>
                <c:manualLayout>
                  <c:x val="1.1063758433543685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C6-4B4E-9E81-1A5E1F193F05}"/>
                </c:ext>
              </c:extLst>
            </c:dLbl>
            <c:dLbl>
              <c:idx val="4"/>
              <c:layout>
                <c:manualLayout>
                  <c:x val="9.4404465372440304E-3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C6-4B4E-9E81-1A5E1F193F05}"/>
                </c:ext>
              </c:extLst>
            </c:dLbl>
            <c:dLbl>
              <c:idx val="5"/>
              <c:layout>
                <c:manualLayout>
                  <c:x val="1.0942137025130683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4C6-4B4E-9E81-1A5E1F193F05}"/>
                </c:ext>
              </c:extLst>
            </c:dLbl>
            <c:dLbl>
              <c:idx val="6"/>
              <c:layout>
                <c:manualLayout>
                  <c:x val="1.2443827513018492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C6-4B4E-9E81-1A5E1F193F05}"/>
                </c:ext>
              </c:extLst>
            </c:dLbl>
            <c:dLbl>
              <c:idx val="7"/>
              <c:layout>
                <c:manualLayout>
                  <c:x val="1.3945518000905774E-2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C6-4B4E-9E81-1A5E1F193F05}"/>
                </c:ext>
              </c:extLst>
            </c:dLbl>
            <c:dLbl>
              <c:idx val="8"/>
              <c:layout>
                <c:manualLayout>
                  <c:x val="1.2322206104605014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C6-4B4E-9E81-1A5E1F193F05}"/>
                </c:ext>
              </c:extLst>
            </c:dLbl>
            <c:dLbl>
              <c:idx val="9"/>
              <c:layout>
                <c:manualLayout>
                  <c:x val="2.0073901360867612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C6-4B4E-9E81-1A5E1F193F05}"/>
                </c:ext>
              </c:extLst>
            </c:dLbl>
            <c:dLbl>
              <c:idx val="10"/>
              <c:layout>
                <c:manualLayout>
                  <c:x val="2.1575591848754946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4C6-4B4E-9E81-1A5E1F193F05}"/>
                </c:ext>
              </c:extLst>
            </c:dLbl>
            <c:dLbl>
              <c:idx val="11"/>
              <c:layout>
                <c:manualLayout>
                  <c:x val="1.682727756826758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4C6-4B4E-9E81-1A5E1F193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'PAICOL-18'!$D$52:$G$52</c:f>
              <c:numCache>
                <c:formatCode>mmm\-yy</c:formatCode>
                <c:ptCount val="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</c:numCache>
            </c:numRef>
          </c:cat>
          <c:val>
            <c:numRef>
              <c:f>'PAICOL-18'!$D$54:$G$54</c:f>
              <c:numCache>
                <c:formatCode>0%</c:formatCode>
                <c:ptCount val="4"/>
                <c:pt idx="0">
                  <c:v>0.97601668404588116</c:v>
                </c:pt>
                <c:pt idx="1">
                  <c:v>0.9802289281997919</c:v>
                </c:pt>
                <c:pt idx="2">
                  <c:v>0.98024948024948022</c:v>
                </c:pt>
                <c:pt idx="3">
                  <c:v>0.98031088082901552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A4C6-4B4E-9E81-1A5E1F193F05}"/>
            </c:ext>
          </c:extLst>
        </c:ser>
        <c:ser>
          <c:idx val="2"/>
          <c:order val="2"/>
          <c:tx>
            <c:v>Aseo</c:v>
          </c:tx>
          <c:invertIfNegative val="0"/>
          <c:dLbls>
            <c:dLbl>
              <c:idx val="0"/>
              <c:layout>
                <c:manualLayout>
                  <c:x val="8.3295512976541228E-3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C6-4B4E-9E81-1A5E1F193F05}"/>
                </c:ext>
              </c:extLst>
            </c:dLbl>
            <c:dLbl>
              <c:idx val="1"/>
              <c:layout>
                <c:manualLayout>
                  <c:x val="8.2687405934475048E-3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C6-4B4E-9E81-1A5E1F193F05}"/>
                </c:ext>
              </c:extLst>
            </c:dLbl>
            <c:dLbl>
              <c:idx val="2"/>
              <c:layout>
                <c:manualLayout>
                  <c:x val="1.13329322734286E-2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C6-4B4E-9E81-1A5E1F193F05}"/>
                </c:ext>
              </c:extLst>
            </c:dLbl>
            <c:dLbl>
              <c:idx val="3"/>
              <c:layout>
                <c:manualLayout>
                  <c:x val="8.1471191850344959E-3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4C6-4B4E-9E81-1A5E1F193F05}"/>
                </c:ext>
              </c:extLst>
            </c:dLbl>
            <c:dLbl>
              <c:idx val="4"/>
              <c:layout>
                <c:manualLayout>
                  <c:x val="1.7461315633390855E-2"/>
                  <c:y val="-0.13376768268030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4C6-4B4E-9E81-1A5E1F193F05}"/>
                </c:ext>
              </c:extLst>
            </c:dLbl>
            <c:dLbl>
              <c:idx val="5"/>
              <c:layout>
                <c:manualLayout>
                  <c:x val="1.2713001352902861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4C6-4B4E-9E81-1A5E1F193F05}"/>
                </c:ext>
              </c:extLst>
            </c:dLbl>
            <c:dLbl>
              <c:idx val="6"/>
              <c:layout>
                <c:manualLayout>
                  <c:x val="1.4214691840790198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4C6-4B4E-9E81-1A5E1F193F05}"/>
                </c:ext>
              </c:extLst>
            </c:dLbl>
            <c:dLbl>
              <c:idx val="7"/>
              <c:layout>
                <c:manualLayout>
                  <c:x val="1.5716382328677544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4C6-4B4E-9E81-1A5E1F193F05}"/>
                </c:ext>
              </c:extLst>
            </c:dLbl>
            <c:dLbl>
              <c:idx val="8"/>
              <c:layout>
                <c:manualLayout>
                  <c:x val="1.721807281656489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C6-4B4E-9E81-1A5E1F193F05}"/>
                </c:ext>
              </c:extLst>
            </c:dLbl>
            <c:dLbl>
              <c:idx val="9"/>
              <c:layout>
                <c:manualLayout>
                  <c:x val="1.8719763304452127E-2"/>
                  <c:y val="-0.11539493217599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4C6-4B4E-9E81-1A5E1F193F05}"/>
                </c:ext>
              </c:extLst>
            </c:dLbl>
            <c:dLbl>
              <c:idx val="10"/>
              <c:layout>
                <c:manualLayout>
                  <c:x val="2.3346456176527138E-2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4C6-4B4E-9E81-1A5E1F193F05}"/>
                </c:ext>
              </c:extLst>
            </c:dLbl>
            <c:dLbl>
              <c:idx val="11"/>
              <c:layout>
                <c:manualLayout>
                  <c:x val="2.4848146664415299E-2"/>
                  <c:y val="-0.12064428946294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4C6-4B4E-9E81-1A5E1F193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'PAICOL-18'!$D$52:$G$52</c:f>
              <c:numCache>
                <c:formatCode>mmm\-yy</c:formatCode>
                <c:ptCount val="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</c:numCache>
            </c:numRef>
          </c:cat>
          <c:val>
            <c:numRef>
              <c:f>'PAICOL-18'!$D$55:$G$55</c:f>
              <c:numCache>
                <c:formatCode>0%</c:formatCode>
                <c:ptCount val="4"/>
                <c:pt idx="0">
                  <c:v>0.98018769551616269</c:v>
                </c:pt>
                <c:pt idx="1">
                  <c:v>0.9802289281997919</c:v>
                </c:pt>
                <c:pt idx="2">
                  <c:v>0.98024948024948022</c:v>
                </c:pt>
                <c:pt idx="3">
                  <c:v>0.98031088082901552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A4C6-4B4E-9E81-1A5E1F193F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5012224"/>
        <c:axId val="185013760"/>
        <c:axId val="184110144"/>
      </c:bar3DChart>
      <c:dateAx>
        <c:axId val="185012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5013760"/>
        <c:crosses val="autoZero"/>
        <c:auto val="1"/>
        <c:lblOffset val="100"/>
        <c:baseTimeUnit val="months"/>
        <c:majorUnit val="1"/>
        <c:minorUnit val="1"/>
      </c:dateAx>
      <c:valAx>
        <c:axId val="18501376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5012224"/>
        <c:crosses val="autoZero"/>
        <c:crossBetween val="between"/>
      </c:valAx>
      <c:serAx>
        <c:axId val="184110144"/>
        <c:scaling>
          <c:orientation val="minMax"/>
        </c:scaling>
        <c:delete val="1"/>
        <c:axPos val="b"/>
        <c:majorTickMark val="out"/>
        <c:minorTickMark val="none"/>
        <c:tickLblPos val="none"/>
        <c:crossAx val="18501376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3437500000000003E-2"/>
          <c:y val="0.90204176175104656"/>
          <c:w val="0.45625032808398924"/>
          <c:h val="7.3107049608355096E-2"/>
        </c:manualLayout>
      </c:layout>
      <c:overlay val="0"/>
      <c:txPr>
        <a:bodyPr/>
        <a:lstStyle/>
        <a:p>
          <a:pPr>
            <a:defRPr lang="es-ES"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u="sng"/>
            </a:pPr>
            <a:r>
              <a:rPr lang="es-CO" sz="1200" u="sng"/>
              <a:t>INDICADOR</a:t>
            </a:r>
            <a:r>
              <a:rPr lang="es-CO" sz="1200" u="sng" baseline="0"/>
              <a:t> DE FACTURACION Y RECAUDO DEL  CORRIENTE</a:t>
            </a:r>
          </a:p>
          <a:p>
            <a:pPr>
              <a:defRPr lang="es-ES" u="sng"/>
            </a:pPr>
            <a:r>
              <a:rPr lang="es-CO" sz="1200" u="sng"/>
              <a:t>PAICOL</a:t>
            </a:r>
          </a:p>
        </c:rich>
      </c:tx>
      <c:overlay val="0"/>
    </c:title>
    <c:autoTitleDeleted val="0"/>
    <c:view3D>
      <c:rotX val="90"/>
      <c:rotY val="2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'PAICOL-18'!$B$43</c:f>
              <c:strCache>
                <c:ptCount val="1"/>
                <c:pt idx="0">
                  <c:v>Total Facturado Corriente</c:v>
                </c:pt>
              </c:strCache>
            </c:strRef>
          </c:tx>
          <c:spPr>
            <a:solidFill>
              <a:srgbClr val="7030A0"/>
            </a:solidFill>
            <a:ln w="6350">
              <a:noFill/>
            </a:ln>
            <a:effectLst>
              <a:innerShdw blurRad="63500" dist="50800" dir="13500000">
                <a:schemeClr val="accent2">
                  <a:lumMod val="60000"/>
                  <a:lumOff val="40000"/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angle"/>
              <a:bevelB w="139700" prst="cross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5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'PAICOL-18'!$D$42:$O$42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'PAICOL-18'!$D$43:$O$43</c:f>
              <c:numCache>
                <c:formatCode>_-* #,##0_-;\-* #,##0_-;_-* "-"??_-;_-@_-</c:formatCode>
                <c:ptCount val="12"/>
                <c:pt idx="0">
                  <c:v>16386394</c:v>
                </c:pt>
                <c:pt idx="1">
                  <c:v>14414000</c:v>
                </c:pt>
                <c:pt idx="2">
                  <c:v>14990000</c:v>
                </c:pt>
                <c:pt idx="3">
                  <c:v>16485750</c:v>
                </c:pt>
                <c:pt idx="4">
                  <c:v>15688750</c:v>
                </c:pt>
                <c:pt idx="5">
                  <c:v>16162600</c:v>
                </c:pt>
                <c:pt idx="6">
                  <c:v>16502500</c:v>
                </c:pt>
                <c:pt idx="7">
                  <c:v>16397605</c:v>
                </c:pt>
                <c:pt idx="8">
                  <c:v>16282614</c:v>
                </c:pt>
                <c:pt idx="9">
                  <c:v>15528181</c:v>
                </c:pt>
                <c:pt idx="10">
                  <c:v>15814750</c:v>
                </c:pt>
                <c:pt idx="11">
                  <c:v>15220250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1D-46C9-92EA-9B89E32C0D3A}"/>
            </c:ext>
          </c:extLst>
        </c:ser>
        <c:ser>
          <c:idx val="1"/>
          <c:order val="1"/>
          <c:tx>
            <c:strRef>
              <c:f>'PAICOL-18'!$B$44</c:f>
              <c:strCache>
                <c:ptCount val="1"/>
                <c:pt idx="0">
                  <c:v>Total Recaudado Corriente</c:v>
                </c:pt>
              </c:strCache>
            </c:strRef>
          </c:tx>
          <c:spPr>
            <a:solidFill>
              <a:srgbClr val="B91777"/>
            </a:solidFill>
            <a:ln w="12700" cmpd="sng">
              <a:noFill/>
            </a:ln>
            <a:effectLst>
              <a:innerShdw blurRad="63500" dist="50800" dir="10560000">
                <a:srgbClr val="7030A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relaxedInset"/>
              <a:bevelB w="44450" h="50800" prst="coolSlan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5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'PAICOL-18'!$D$42:$O$42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'PAICOL-18'!$D$44:$O$44</c:f>
              <c:numCache>
                <c:formatCode>_-* #,##0_-;\-* #,##0_-;_-* "-"??_-;_-@_-</c:formatCode>
                <c:ptCount val="12"/>
                <c:pt idx="0">
                  <c:v>14699608</c:v>
                </c:pt>
                <c:pt idx="1">
                  <c:v>13186200</c:v>
                </c:pt>
                <c:pt idx="2">
                  <c:v>13229050</c:v>
                </c:pt>
                <c:pt idx="3">
                  <c:v>14694240</c:v>
                </c:pt>
                <c:pt idx="4">
                  <c:v>13927900</c:v>
                </c:pt>
                <c:pt idx="5">
                  <c:v>14474400</c:v>
                </c:pt>
                <c:pt idx="6">
                  <c:v>14738200</c:v>
                </c:pt>
                <c:pt idx="7">
                  <c:v>13400200</c:v>
                </c:pt>
                <c:pt idx="8">
                  <c:v>14505150</c:v>
                </c:pt>
                <c:pt idx="9">
                  <c:v>13094763</c:v>
                </c:pt>
                <c:pt idx="10">
                  <c:v>13076377</c:v>
                </c:pt>
                <c:pt idx="11">
                  <c:v>13187850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1D-46C9-92EA-9B89E32C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500800"/>
        <c:axId val="185502336"/>
        <c:axId val="0"/>
      </c:bar3DChart>
      <c:dateAx>
        <c:axId val="1855008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lang="es-ES" sz="700" b="1" baseline="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5502336"/>
        <c:crosses val="autoZero"/>
        <c:auto val="1"/>
        <c:lblOffset val="100"/>
        <c:baseTimeUnit val="months"/>
      </c:dateAx>
      <c:valAx>
        <c:axId val="185502336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</a:schemeClr>
              </a:solidFill>
            </a:ln>
          </c:spPr>
        </c:majorGridlines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s-ES" sz="700" b="1" baseline="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5500800"/>
        <c:crosses val="autoZero"/>
        <c:crossBetween val="between"/>
      </c:valAx>
    </c:plotArea>
    <c:legend>
      <c:legendPos val="r"/>
      <c:overlay val="0"/>
      <c:spPr>
        <a:ln>
          <a:noFill/>
        </a:ln>
      </c:spPr>
      <c:txPr>
        <a:bodyPr/>
        <a:lstStyle/>
        <a:p>
          <a:pPr>
            <a:defRPr lang="es-ES" sz="700" b="1" baseline="0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rgbClr val="8064A2">
            <a:lumMod val="75000"/>
          </a:srgbClr>
        </a:gs>
        <a:gs pos="51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7200000" scaled="0"/>
    </a:gradFill>
    <a:ln cap="rnd" cmpd="sng">
      <a:solidFill>
        <a:srgbClr val="7030A0"/>
      </a:solidFill>
    </a:ln>
    <a:effectLst>
      <a:innerShdw blurRad="584200" dist="660400" dir="18600000">
        <a:srgbClr val="FFFF00">
          <a:alpha val="72000"/>
        </a:srgbClr>
      </a:innerShdw>
    </a:effectLst>
    <a:scene3d>
      <a:camera prst="orthographicFront"/>
      <a:lightRig rig="threePt" dir="t"/>
    </a:scene3d>
    <a:sp3d>
      <a:bevelT w="254000" prst="relaxedInset"/>
      <a:bevelB w="82550" h="222250" prst="angle"/>
    </a:sp3d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'PAICOL-18'!$B$57</c:f>
              <c:strCache>
                <c:ptCount val="1"/>
                <c:pt idx="0">
                  <c:v>Índice de Agua No Contabilizada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'PAICOL-18'!$C$4:$O$4</c:f>
              <c:strCache>
                <c:ptCount val="13"/>
                <c:pt idx="0">
                  <c:v>Unidad</c:v>
                </c:pt>
                <c:pt idx="1">
                  <c:v>ene-18</c:v>
                </c:pt>
                <c:pt idx="2">
                  <c:v>feb-18</c:v>
                </c:pt>
                <c:pt idx="3">
                  <c:v>mar-18</c:v>
                </c:pt>
                <c:pt idx="4">
                  <c:v>abr-18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ago-18</c:v>
                </c:pt>
                <c:pt idx="9">
                  <c:v>sept-18</c:v>
                </c:pt>
                <c:pt idx="10">
                  <c:v>oct-18</c:v>
                </c:pt>
                <c:pt idx="11">
                  <c:v>nov-18</c:v>
                </c:pt>
                <c:pt idx="12">
                  <c:v>dic-18</c:v>
                </c:pt>
              </c:strCache>
            </c:strRef>
          </c:cat>
          <c:val>
            <c:numRef>
              <c:f>'PAICOL-18'!$C$57:$O$57</c:f>
              <c:numCache>
                <c:formatCode>0.00%</c:formatCode>
                <c:ptCount val="13"/>
                <c:pt idx="0" formatCode="General">
                  <c:v>0</c:v>
                </c:pt>
                <c:pt idx="1">
                  <c:v>0.59830000000000005</c:v>
                </c:pt>
                <c:pt idx="2">
                  <c:v>0.64159999999999995</c:v>
                </c:pt>
                <c:pt idx="3">
                  <c:v>0.67479999999999996</c:v>
                </c:pt>
                <c:pt idx="4">
                  <c:v>0.6149</c:v>
                </c:pt>
                <c:pt idx="5">
                  <c:v>0.66710000000000003</c:v>
                </c:pt>
                <c:pt idx="6">
                  <c:v>0.60650000000000004</c:v>
                </c:pt>
                <c:pt idx="7">
                  <c:v>0.49249999999999999</c:v>
                </c:pt>
                <c:pt idx="8">
                  <c:v>0.36459999999999998</c:v>
                </c:pt>
                <c:pt idx="9">
                  <c:v>0.49399999999999999</c:v>
                </c:pt>
                <c:pt idx="10">
                  <c:v>0.51439999999999997</c:v>
                </c:pt>
                <c:pt idx="11">
                  <c:v>0.2233</c:v>
                </c:pt>
                <c:pt idx="12">
                  <c:v>0.60289999999999999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5E-466A-A011-7BF2AC8D4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610240"/>
        <c:axId val="185611776"/>
        <c:axId val="0"/>
      </c:bar3DChart>
      <c:catAx>
        <c:axId val="185610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5611776"/>
        <c:crosses val="autoZero"/>
        <c:auto val="1"/>
        <c:lblAlgn val="ctr"/>
        <c:lblOffset val="100"/>
        <c:noMultiLvlLbl val="1"/>
      </c:catAx>
      <c:valAx>
        <c:axId val="18561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5610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u="sng"/>
            </a:pPr>
            <a:r>
              <a:rPr lang="es-CO" sz="1200" u="sng"/>
              <a:t>INDICADOR</a:t>
            </a:r>
            <a:r>
              <a:rPr lang="es-CO" sz="1200" u="sng" baseline="0"/>
              <a:t> DE FACTURACION Y RECAUDO DE LA DEUDA</a:t>
            </a:r>
            <a:endParaRPr lang="es-CO" sz="1200" u="sng"/>
          </a:p>
          <a:p>
            <a:pPr>
              <a:defRPr lang="es-ES" u="sng"/>
            </a:pPr>
            <a:r>
              <a:rPr lang="es-CO" sz="1200" u="sng"/>
              <a:t>PAICOL</a:t>
            </a:r>
          </a:p>
        </c:rich>
      </c:tx>
      <c:overlay val="0"/>
    </c:title>
    <c:autoTitleDeleted val="0"/>
    <c:view3D>
      <c:rotX val="90"/>
      <c:rotY val="2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'PAICOL-18'!$B$46</c:f>
              <c:strCache>
                <c:ptCount val="1"/>
                <c:pt idx="0">
                  <c:v>Total Facturado deuda</c:v>
                </c:pt>
              </c:strCache>
            </c:strRef>
          </c:tx>
          <c:spPr>
            <a:solidFill>
              <a:srgbClr val="7030A0"/>
            </a:solidFill>
            <a:ln w="6350">
              <a:noFill/>
            </a:ln>
            <a:effectLst>
              <a:innerShdw blurRad="63500" dist="50800" dir="13500000">
                <a:schemeClr val="accent2">
                  <a:lumMod val="60000"/>
                  <a:lumOff val="40000"/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angle"/>
              <a:bevelB w="139700" prst="cross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5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'PAICOL-18'!$D$45:$O$45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'PAICOL-18'!$D$46:$O$46</c:f>
              <c:numCache>
                <c:formatCode>_-* #,##0_-;\-* #,##0_-;_-* "-"??_-;_-@_-</c:formatCode>
                <c:ptCount val="12"/>
                <c:pt idx="0">
                  <c:v>998656</c:v>
                </c:pt>
                <c:pt idx="1">
                  <c:v>2242550</c:v>
                </c:pt>
                <c:pt idx="2">
                  <c:v>2256050</c:v>
                </c:pt>
                <c:pt idx="3">
                  <c:v>2447800</c:v>
                </c:pt>
                <c:pt idx="4">
                  <c:v>2415300</c:v>
                </c:pt>
                <c:pt idx="5">
                  <c:v>2271100</c:v>
                </c:pt>
                <c:pt idx="6">
                  <c:v>2342500</c:v>
                </c:pt>
                <c:pt idx="7">
                  <c:v>2380100</c:v>
                </c:pt>
                <c:pt idx="8">
                  <c:v>3327605</c:v>
                </c:pt>
                <c:pt idx="9">
                  <c:v>2697169</c:v>
                </c:pt>
                <c:pt idx="10">
                  <c:v>3178050</c:v>
                </c:pt>
                <c:pt idx="11">
                  <c:v>3489850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8A-41C0-AA35-4439C14E2291}"/>
            </c:ext>
          </c:extLst>
        </c:ser>
        <c:ser>
          <c:idx val="1"/>
          <c:order val="1"/>
          <c:tx>
            <c:strRef>
              <c:f>'PAICOL-18'!$B$47</c:f>
              <c:strCache>
                <c:ptCount val="1"/>
                <c:pt idx="0">
                  <c:v>Total Recaudado deuda</c:v>
                </c:pt>
              </c:strCache>
            </c:strRef>
          </c:tx>
          <c:spPr>
            <a:solidFill>
              <a:srgbClr val="B91777"/>
            </a:solidFill>
            <a:ln w="12700" cmpd="sng">
              <a:noFill/>
            </a:ln>
            <a:effectLst>
              <a:innerShdw blurRad="63500" dist="50800" dir="10560000">
                <a:srgbClr val="7030A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relaxedInset"/>
              <a:bevelB w="44450" h="50800" prst="coolSlan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5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'PAICOL-18'!$D$45:$O$45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'PAICOL-18'!$D$47:$O$47</c:f>
              <c:numCache>
                <c:formatCode>_-* #,##0_-;\-* #,##0_-;_-* "-"??_-;_-@_-</c:formatCode>
                <c:ptCount val="12"/>
                <c:pt idx="0">
                  <c:v>442892</c:v>
                </c:pt>
                <c:pt idx="1">
                  <c:v>1206600</c:v>
                </c:pt>
                <c:pt idx="2">
                  <c:v>1576900</c:v>
                </c:pt>
                <c:pt idx="3">
                  <c:v>1824010</c:v>
                </c:pt>
                <c:pt idx="4">
                  <c:v>1832950</c:v>
                </c:pt>
                <c:pt idx="5">
                  <c:v>1688900</c:v>
                </c:pt>
                <c:pt idx="6">
                  <c:v>1726700</c:v>
                </c:pt>
                <c:pt idx="7">
                  <c:v>1745400</c:v>
                </c:pt>
                <c:pt idx="8">
                  <c:v>2712400</c:v>
                </c:pt>
                <c:pt idx="9">
                  <c:v>1952537</c:v>
                </c:pt>
                <c:pt idx="10">
                  <c:v>2426573</c:v>
                </c:pt>
                <c:pt idx="11">
                  <c:v>2783800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8A-41C0-AA35-4439C14E2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647488"/>
        <c:axId val="185649024"/>
        <c:axId val="0"/>
      </c:bar3DChart>
      <c:dateAx>
        <c:axId val="18564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5649024"/>
        <c:crosses val="autoZero"/>
        <c:auto val="1"/>
        <c:lblOffset val="100"/>
        <c:baseTimeUnit val="months"/>
      </c:dateAx>
      <c:valAx>
        <c:axId val="185649024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</a:schemeClr>
              </a:solidFill>
            </a:ln>
          </c:spPr>
        </c:majorGridlines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5647488"/>
        <c:crosses val="autoZero"/>
        <c:crossBetween val="between"/>
      </c:valAx>
    </c:plotArea>
    <c:legend>
      <c:legendPos val="r"/>
      <c:overlay val="0"/>
      <c:spPr>
        <a:ln>
          <a:noFill/>
        </a:ln>
      </c:spPr>
      <c:txPr>
        <a:bodyPr/>
        <a:lstStyle/>
        <a:p>
          <a:pPr>
            <a:defRPr lang="es-ES" sz="1000" b="1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rgbClr val="8064A2">
            <a:lumMod val="75000"/>
          </a:srgbClr>
        </a:gs>
        <a:gs pos="51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7200000" scaled="0"/>
    </a:gradFill>
    <a:ln cap="rnd" cmpd="sng">
      <a:solidFill>
        <a:srgbClr val="7030A0"/>
      </a:solidFill>
    </a:ln>
    <a:effectLst>
      <a:innerShdw blurRad="584200" dist="660400" dir="18600000">
        <a:srgbClr val="FFFF00">
          <a:alpha val="72000"/>
        </a:srgbClr>
      </a:innerShdw>
    </a:effectLst>
    <a:scene3d>
      <a:camera prst="orthographicFront"/>
      <a:lightRig rig="threePt" dir="t"/>
    </a:scene3d>
    <a:sp3d>
      <a:bevelT w="254000" prst="relaxedInset"/>
      <a:bevelB w="82550" h="222250" prst="angle"/>
    </a:sp3d>
  </c:sp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3D-4759-95DC-9A122CEBA1D8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0.0%</c:formatCode>
                <c:ptCount val="12"/>
                <c:pt idx="0">
                  <c:v>0.87100698588729975</c:v>
                </c:pt>
                <c:pt idx="1">
                  <c:v>0.86409250415001904</c:v>
                </c:pt>
                <c:pt idx="2">
                  <c:v>0.8585125289559058</c:v>
                </c:pt>
                <c:pt idx="3">
                  <c:v>0.87243279786410899</c:v>
                </c:pt>
                <c:pt idx="4">
                  <c:v>0.87057039723155871</c:v>
                </c:pt>
                <c:pt idx="5">
                  <c:v>0.87683427635254996</c:v>
                </c:pt>
                <c:pt idx="6">
                  <c:v>0.87370124701512342</c:v>
                </c:pt>
                <c:pt idx="7">
                  <c:v>0.80657354027023009</c:v>
                </c:pt>
                <c:pt idx="8">
                  <c:v>0.87798866499145167</c:v>
                </c:pt>
                <c:pt idx="9">
                  <c:v>0.8256247479472274</c:v>
                </c:pt>
                <c:pt idx="10">
                  <c:v>0.8162540541678952</c:v>
                </c:pt>
                <c:pt idx="11">
                  <c:v>0.85363787473076036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3D-4759-95DC-9A122CEBA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20576"/>
        <c:axId val="181722112"/>
      </c:lineChart>
      <c:catAx>
        <c:axId val="18172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1722112"/>
        <c:crosses val="autoZero"/>
        <c:auto val="1"/>
        <c:lblAlgn val="ctr"/>
        <c:lblOffset val="100"/>
        <c:noMultiLvlLbl val="0"/>
      </c:catAx>
      <c:valAx>
        <c:axId val="1817221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1720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88" l="0.70000000000000062" r="0.70000000000000062" t="0.75000000000000888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#,##0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39-4E77-B87A-C38D0C3DC656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#,##0</c:formatCode>
                <c:ptCount val="12"/>
                <c:pt idx="0">
                  <c:v>4.1056317820748118</c:v>
                </c:pt>
                <c:pt idx="1">
                  <c:v>4.4098461857338576</c:v>
                </c:pt>
                <c:pt idx="2">
                  <c:v>4.7959622273614855</c:v>
                </c:pt>
                <c:pt idx="3">
                  <c:v>4.6540453757059845</c:v>
                </c:pt>
                <c:pt idx="4">
                  <c:v>4.5081828752309985</c:v>
                </c:pt>
                <c:pt idx="5">
                  <c:v>4.3416857565548277</c:v>
                </c:pt>
                <c:pt idx="6">
                  <c:v>4.7330925463125304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39-4E77-B87A-C38D0C3D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34496"/>
        <c:axId val="181836032"/>
      </c:lineChart>
      <c:catAx>
        <c:axId val="18183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1836032"/>
        <c:crosses val="autoZero"/>
        <c:auto val="1"/>
        <c:lblAlgn val="ctr"/>
        <c:lblOffset val="100"/>
        <c:noMultiLvlLbl val="0"/>
      </c:catAx>
      <c:valAx>
        <c:axId val="181836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1834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21-47E5-908F-6CAE84AB727B}"/>
            </c:ext>
          </c:extLst>
        </c:ser>
        <c:ser>
          <c:idx val="1"/>
          <c:order val="1"/>
          <c:tx>
            <c:strRef>
              <c:f>'04'!$A$17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21-47E5-908F-6CAE84AB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56480"/>
        <c:axId val="180758016"/>
      </c:lineChart>
      <c:catAx>
        <c:axId val="18075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0758016"/>
        <c:crosses val="autoZero"/>
        <c:auto val="1"/>
        <c:lblAlgn val="ctr"/>
        <c:lblOffset val="100"/>
        <c:noMultiLvlLbl val="0"/>
      </c:catAx>
      <c:valAx>
        <c:axId val="1807580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756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'05'!$A$16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1-482B-99E0-8B4DC7E6DAEF}"/>
            </c:ext>
          </c:extLst>
        </c:ser>
        <c:ser>
          <c:idx val="1"/>
          <c:order val="1"/>
          <c:tx>
            <c:strRef>
              <c:f>'05'!$A$17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'05'!$C$17:$N$17</c:f>
              <c:numCache>
                <c:formatCode>0.0%</c:formatCode>
                <c:ptCount val="12"/>
                <c:pt idx="0">
                  <c:v>0.99582898852971846</c:v>
                </c:pt>
                <c:pt idx="1">
                  <c:v>0.99583766909469307</c:v>
                </c:pt>
                <c:pt idx="2">
                  <c:v>0.99584199584199584</c:v>
                </c:pt>
                <c:pt idx="3">
                  <c:v>0.99585492227979278</c:v>
                </c:pt>
                <c:pt idx="4">
                  <c:v>0.9927835051546392</c:v>
                </c:pt>
                <c:pt idx="5">
                  <c:v>0.9927909371781668</c:v>
                </c:pt>
                <c:pt idx="6">
                  <c:v>0.9927835051546392</c:v>
                </c:pt>
                <c:pt idx="7">
                  <c:v>0.9928057553956835</c:v>
                </c:pt>
                <c:pt idx="8">
                  <c:v>0.99282051282051287</c:v>
                </c:pt>
                <c:pt idx="9">
                  <c:v>0.99282051282051287</c:v>
                </c:pt>
                <c:pt idx="10">
                  <c:v>0.99282051282051287</c:v>
                </c:pt>
                <c:pt idx="11">
                  <c:v>0.99282786885245899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A1-482B-99E0-8B4DC7E6D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06016"/>
        <c:axId val="180807552"/>
      </c:lineChart>
      <c:catAx>
        <c:axId val="18080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0807552"/>
        <c:crosses val="autoZero"/>
        <c:auto val="1"/>
        <c:lblAlgn val="ctr"/>
        <c:lblOffset val="100"/>
        <c:noMultiLvlLbl val="0"/>
      </c:catAx>
      <c:valAx>
        <c:axId val="180807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806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'06'!$A$16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F1-4521-BA00-0AE5CAEE6058}"/>
            </c:ext>
          </c:extLst>
        </c:ser>
        <c:ser>
          <c:idx val="1"/>
          <c:order val="1"/>
          <c:tx>
            <c:strRef>
              <c:f>'06'!$A$17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'06'!$C$17:$N$17</c:f>
              <c:numCache>
                <c:formatCode>0.0%</c:formatCode>
                <c:ptCount val="12"/>
                <c:pt idx="0">
                  <c:v>0.97601668404588116</c:v>
                </c:pt>
                <c:pt idx="1">
                  <c:v>0.9802289281997919</c:v>
                </c:pt>
                <c:pt idx="2">
                  <c:v>0.98024948024948022</c:v>
                </c:pt>
                <c:pt idx="3">
                  <c:v>0.98031088082901552</c:v>
                </c:pt>
                <c:pt idx="4">
                  <c:v>0.97731958762886595</c:v>
                </c:pt>
                <c:pt idx="5">
                  <c:v>0.97734294541709577</c:v>
                </c:pt>
                <c:pt idx="6">
                  <c:v>0.97731958762886595</c:v>
                </c:pt>
                <c:pt idx="7">
                  <c:v>0.97738951695786225</c:v>
                </c:pt>
                <c:pt idx="8">
                  <c:v>0.97743589743589743</c:v>
                </c:pt>
                <c:pt idx="9">
                  <c:v>0.97743589743589743</c:v>
                </c:pt>
                <c:pt idx="10">
                  <c:v>0.97743589743589743</c:v>
                </c:pt>
                <c:pt idx="11">
                  <c:v>0.97745901639344257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F1-4521-BA00-0AE5CAEE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55328"/>
        <c:axId val="131556864"/>
      </c:lineChart>
      <c:catAx>
        <c:axId val="13155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556864"/>
        <c:crosses val="autoZero"/>
        <c:auto val="1"/>
        <c:lblAlgn val="ctr"/>
        <c:lblOffset val="100"/>
        <c:noMultiLvlLbl val="0"/>
      </c:catAx>
      <c:valAx>
        <c:axId val="1315568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555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9C-4FDA-9457-5456E0A3D873}"/>
            </c:ext>
          </c:extLst>
        </c:ser>
        <c:ser>
          <c:idx val="1"/>
          <c:order val="1"/>
          <c:tx>
            <c:strRef>
              <c:f>'07'!$A$17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'07'!$C$17:$N$17</c:f>
              <c:numCache>
                <c:formatCode>0.0%</c:formatCode>
                <c:ptCount val="12"/>
                <c:pt idx="0">
                  <c:v>0.98018769551616269</c:v>
                </c:pt>
                <c:pt idx="1">
                  <c:v>0.98022892819979179</c:v>
                </c:pt>
                <c:pt idx="2">
                  <c:v>0.98024948024948022</c:v>
                </c:pt>
                <c:pt idx="3">
                  <c:v>0.98031088082901552</c:v>
                </c:pt>
                <c:pt idx="4">
                  <c:v>0.97731958762886595</c:v>
                </c:pt>
                <c:pt idx="5">
                  <c:v>0.97734294541709577</c:v>
                </c:pt>
                <c:pt idx="6">
                  <c:v>0.97731958762886595</c:v>
                </c:pt>
                <c:pt idx="7">
                  <c:v>0.97738951695786225</c:v>
                </c:pt>
                <c:pt idx="8">
                  <c:v>0.97743589743589743</c:v>
                </c:pt>
                <c:pt idx="9">
                  <c:v>0.97743589743589743</c:v>
                </c:pt>
                <c:pt idx="10">
                  <c:v>0.97743589743589743</c:v>
                </c:pt>
                <c:pt idx="11">
                  <c:v>0.97745901639344246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9C-4FDA-9457-5456E0A3D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66304"/>
        <c:axId val="132068096"/>
      </c:lineChart>
      <c:catAx>
        <c:axId val="132066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2068096"/>
        <c:crosses val="autoZero"/>
        <c:auto val="1"/>
        <c:lblAlgn val="ctr"/>
        <c:lblOffset val="100"/>
        <c:noMultiLvlLbl val="0"/>
      </c:catAx>
      <c:valAx>
        <c:axId val="1320680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20663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'08'!$A$16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'08'!$C$16:$N$16</c:f>
              <c:numCache>
                <c:formatCode>0.0%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FF-4E2C-A560-1ED0C44B76DB}"/>
            </c:ext>
          </c:extLst>
        </c:ser>
        <c:ser>
          <c:idx val="1"/>
          <c:order val="1"/>
          <c:tx>
            <c:strRef>
              <c:f>'08'!$A$17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'08'!$C$17:$N$17</c:f>
              <c:numCache>
                <c:formatCode>0.0%</c:formatCode>
                <c:ptCount val="12"/>
                <c:pt idx="0">
                  <c:v>0.97801047120418849</c:v>
                </c:pt>
                <c:pt idx="1">
                  <c:v>0.9791013584117032</c:v>
                </c:pt>
                <c:pt idx="2">
                  <c:v>0.97599164926931103</c:v>
                </c:pt>
                <c:pt idx="3">
                  <c:v>0.96462018730489074</c:v>
                </c:pt>
                <c:pt idx="4">
                  <c:v>0.96677050882658355</c:v>
                </c:pt>
                <c:pt idx="5">
                  <c:v>0.96887966804979253</c:v>
                </c:pt>
                <c:pt idx="6">
                  <c:v>0.96677050882658355</c:v>
                </c:pt>
                <c:pt idx="7">
                  <c:v>0.96790890269151142</c:v>
                </c:pt>
                <c:pt idx="8">
                  <c:v>0.9700413223140496</c:v>
                </c:pt>
                <c:pt idx="9">
                  <c:v>0.9824380165289256</c:v>
                </c:pt>
                <c:pt idx="10">
                  <c:v>0.9700413223140496</c:v>
                </c:pt>
                <c:pt idx="11">
                  <c:v>0.97213622291021673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FF-4E2C-A560-1ED0C44B7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40320"/>
        <c:axId val="180841856"/>
      </c:lineChart>
      <c:catAx>
        <c:axId val="18084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0841856"/>
        <c:crosses val="autoZero"/>
        <c:auto val="1"/>
        <c:lblAlgn val="ctr"/>
        <c:lblOffset val="100"/>
        <c:noMultiLvlLbl val="0"/>
      </c:catAx>
      <c:valAx>
        <c:axId val="180841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840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'09'!$A$16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'09'!$C$16:$N$16</c:f>
              <c:numCache>
                <c:formatCode>0.0%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8C-4E83-8DF5-7C9B43DC33A4}"/>
            </c:ext>
          </c:extLst>
        </c:ser>
        <c:ser>
          <c:idx val="1"/>
          <c:order val="1"/>
          <c:tx>
            <c:strRef>
              <c:f>'09'!$A$17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'09'!$C$17:$N$17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%">
                  <c:v>0</c:v>
                </c:pt>
                <c:pt idx="6" formatCode="0.0%">
                  <c:v>0</c:v>
                </c:pt>
                <c:pt idx="7" formatCode="0.0%">
                  <c:v>0</c:v>
                </c:pt>
                <c:pt idx="8" formatCode="0.0%">
                  <c:v>0</c:v>
                </c:pt>
                <c:pt idx="9" formatCode="0.0%">
                  <c:v>0</c:v>
                </c:pt>
                <c:pt idx="10" formatCode="0.0%">
                  <c:v>0</c:v>
                </c:pt>
                <c:pt idx="11" formatCode="0.0%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8C-4E83-8DF5-7C9B43DC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95648"/>
        <c:axId val="131986560"/>
      </c:lineChart>
      <c:catAx>
        <c:axId val="13159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986560"/>
        <c:crosses val="autoZero"/>
        <c:auto val="1"/>
        <c:lblAlgn val="ctr"/>
        <c:lblOffset val="100"/>
        <c:noMultiLvlLbl val="0"/>
      </c:catAx>
      <c:valAx>
        <c:axId val="1319865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595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57150</xdr:rowOff>
    </xdr:from>
    <xdr:to>
      <xdr:col>2</xdr:col>
      <xdr:colOff>495300</xdr:colOff>
      <xdr:row>1</xdr:row>
      <xdr:rowOff>114300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7150"/>
          <a:ext cx="9429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xmlns="" id="{00000000-0008-0000-0900-00000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3314" name="Picture 2">
          <a:extLst>
            <a:ext uri="{FF2B5EF4-FFF2-40B4-BE49-F238E27FC236}">
              <a16:creationId xmlns:a16="http://schemas.microsoft.com/office/drawing/2014/main" xmlns="" id="{00000000-0008-0000-0A00-00000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4338" name="Picture 2">
          <a:extLst>
            <a:ext uri="{FF2B5EF4-FFF2-40B4-BE49-F238E27FC236}">
              <a16:creationId xmlns:a16="http://schemas.microsoft.com/office/drawing/2014/main" xmlns="" id="{00000000-0008-0000-0B00-00000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xmlns="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9458" name="Picture 2">
          <a:extLst>
            <a:ext uri="{FF2B5EF4-FFF2-40B4-BE49-F238E27FC236}">
              <a16:creationId xmlns:a16="http://schemas.microsoft.com/office/drawing/2014/main" xmlns="" id="{00000000-0008-0000-0D00-00000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xmlns="" id="{00000000-0008-0000-0E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71</xdr:row>
      <xdr:rowOff>114300</xdr:rowOff>
    </xdr:from>
    <xdr:to>
      <xdr:col>4</xdr:col>
      <xdr:colOff>600075</xdr:colOff>
      <xdr:row>94</xdr:row>
      <xdr:rowOff>85725</xdr:rowOff>
    </xdr:to>
    <xdr:graphicFrame macro="">
      <xdr:nvGraphicFramePr>
        <xdr:cNvPr id="2" name="Chart 28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212035</xdr:colOff>
      <xdr:row>96</xdr:row>
      <xdr:rowOff>139146</xdr:rowOff>
    </xdr:from>
    <xdr:to>
      <xdr:col>7</xdr:col>
      <xdr:colOff>647700</xdr:colOff>
      <xdr:row>127</xdr:row>
      <xdr:rowOff>46383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266700</xdr:colOff>
      <xdr:row>72</xdr:row>
      <xdr:rowOff>67917</xdr:rowOff>
    </xdr:from>
    <xdr:to>
      <xdr:col>12</xdr:col>
      <xdr:colOff>657225</xdr:colOff>
      <xdr:row>91</xdr:row>
      <xdr:rowOff>19050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131</xdr:row>
      <xdr:rowOff>1</xdr:rowOff>
    </xdr:from>
    <xdr:to>
      <xdr:col>7</xdr:col>
      <xdr:colOff>638175</xdr:colOff>
      <xdr:row>158</xdr:row>
      <xdr:rowOff>124240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xmlns="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25</xdr:row>
      <xdr:rowOff>171450</xdr:rowOff>
    </xdr:from>
    <xdr:to>
      <xdr:col>13</xdr:col>
      <xdr:colOff>276225</xdr:colOff>
      <xdr:row>25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xmlns="" id="{00000000-0008-0000-03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25</xdr:row>
      <xdr:rowOff>171450</xdr:rowOff>
    </xdr:from>
    <xdr:to>
      <xdr:col>13</xdr:col>
      <xdr:colOff>276225</xdr:colOff>
      <xdr:row>25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xmlns="" id="{00000000-0008-0000-04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xmlns="" id="{00000000-0008-0000-0500-00000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xmlns="" id="{00000000-0008-0000-06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xmlns="" id="{00000000-0008-0000-07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xmlns="" id="{00000000-0008-0000-0800-00000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5"/>
  <sheetViews>
    <sheetView workbookViewId="0">
      <pane ySplit="5" topLeftCell="A15" activePane="bottomLeft" state="frozen"/>
      <selection activeCell="F1" sqref="F1"/>
      <selection pane="bottomLeft" activeCell="K16" sqref="K16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5.285156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5" max="25" width="6.7109375" customWidth="1"/>
    <col min="26" max="26" width="11.42578125" hidden="1" customWidth="1"/>
    <col min="27" max="27" width="0" hidden="1" customWidth="1"/>
    <col min="29" max="30" width="11.42578125" customWidth="1"/>
  </cols>
  <sheetData>
    <row r="1" spans="1:25" s="2" customFormat="1" ht="20.25" customHeight="1" thickTop="1" x14ac:dyDescent="0.25">
      <c r="A1" s="161"/>
      <c r="B1" s="162"/>
      <c r="C1" s="163"/>
      <c r="D1" s="155" t="s">
        <v>50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7"/>
    </row>
    <row r="2" spans="1:25" s="2" customFormat="1" ht="12.75" customHeight="1" thickBot="1" x14ac:dyDescent="0.3">
      <c r="A2" s="164"/>
      <c r="B2" s="165"/>
      <c r="C2" s="166"/>
      <c r="D2" s="158" t="s">
        <v>67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60"/>
    </row>
    <row r="3" spans="1:25" s="2" customFormat="1" ht="18" customHeight="1" thickTop="1" thickBot="1" x14ac:dyDescent="0.3">
      <c r="A3" s="172" t="s">
        <v>51</v>
      </c>
      <c r="B3" s="173"/>
      <c r="C3" s="173"/>
      <c r="D3" s="173"/>
      <c r="E3" s="173"/>
      <c r="F3" s="173"/>
      <c r="G3" s="173"/>
      <c r="H3" s="173"/>
      <c r="I3" s="173"/>
      <c r="J3" s="174" t="s">
        <v>171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5"/>
    </row>
    <row r="4" spans="1:25" s="2" customFormat="1" ht="30.75" customHeight="1" thickTop="1" thickBot="1" x14ac:dyDescent="0.3">
      <c r="A4" s="167" t="s">
        <v>1</v>
      </c>
      <c r="B4" s="167"/>
      <c r="C4" s="167" t="s">
        <v>2</v>
      </c>
      <c r="D4" s="167" t="s">
        <v>5</v>
      </c>
      <c r="E4" s="170" t="s">
        <v>40</v>
      </c>
      <c r="F4" s="170" t="s">
        <v>66</v>
      </c>
      <c r="G4" s="167" t="s">
        <v>6</v>
      </c>
      <c r="H4" s="167"/>
      <c r="I4" s="167"/>
      <c r="J4" s="168" t="s">
        <v>39</v>
      </c>
      <c r="K4" s="168" t="s">
        <v>268</v>
      </c>
      <c r="L4" s="169" t="s">
        <v>269</v>
      </c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</row>
    <row r="5" spans="1:25" s="1" customFormat="1" ht="31.5" customHeight="1" thickTop="1" thickBot="1" x14ac:dyDescent="0.25">
      <c r="A5" s="167"/>
      <c r="B5" s="167"/>
      <c r="C5" s="167"/>
      <c r="D5" s="167"/>
      <c r="E5" s="171"/>
      <c r="F5" s="171"/>
      <c r="G5" s="32" t="s">
        <v>7</v>
      </c>
      <c r="H5" s="33" t="s">
        <v>61</v>
      </c>
      <c r="I5" s="34" t="s">
        <v>62</v>
      </c>
      <c r="J5" s="168"/>
      <c r="K5" s="168"/>
      <c r="L5" s="31" t="s">
        <v>54</v>
      </c>
      <c r="M5" s="31" t="s">
        <v>8</v>
      </c>
      <c r="N5" s="31" t="s">
        <v>9</v>
      </c>
      <c r="O5" s="31" t="s">
        <v>10</v>
      </c>
      <c r="P5" s="31" t="s">
        <v>11</v>
      </c>
      <c r="Q5" s="31" t="s">
        <v>12</v>
      </c>
      <c r="R5" s="31" t="s">
        <v>13</v>
      </c>
      <c r="S5" s="31" t="s">
        <v>14</v>
      </c>
      <c r="T5" s="31" t="s">
        <v>15</v>
      </c>
      <c r="U5" s="31" t="s">
        <v>16</v>
      </c>
      <c r="V5" s="31" t="s">
        <v>17</v>
      </c>
      <c r="W5" s="31" t="s">
        <v>18</v>
      </c>
      <c r="X5" s="31" t="s">
        <v>19</v>
      </c>
    </row>
    <row r="6" spans="1:25" s="1" customFormat="1" ht="57.75" customHeight="1" thickTop="1" thickBot="1" x14ac:dyDescent="0.25">
      <c r="A6" s="45" t="s">
        <v>41</v>
      </c>
      <c r="B6" s="46" t="s">
        <v>99</v>
      </c>
      <c r="C6" s="42" t="s">
        <v>148</v>
      </c>
      <c r="D6" s="43" t="s">
        <v>106</v>
      </c>
      <c r="E6" s="29" t="s">
        <v>53</v>
      </c>
      <c r="F6" s="50" t="s">
        <v>80</v>
      </c>
      <c r="G6" s="51" t="s">
        <v>109</v>
      </c>
      <c r="H6" s="51" t="s">
        <v>108</v>
      </c>
      <c r="I6" s="51" t="s">
        <v>107</v>
      </c>
      <c r="J6" s="68">
        <v>0.8</v>
      </c>
      <c r="K6" s="68">
        <v>0.85</v>
      </c>
      <c r="L6" s="30">
        <f>'01'!$O$17</f>
        <v>0.87539351616582994</v>
      </c>
      <c r="M6" s="30">
        <f>'01'!$C$17</f>
        <v>0.89706179407134967</v>
      </c>
      <c r="N6" s="30">
        <f>'01'!$D$17</f>
        <v>0.91481892604412374</v>
      </c>
      <c r="O6" s="30">
        <f>'01'!$E$17</f>
        <v>0.88252501667778516</v>
      </c>
      <c r="P6" s="30">
        <f>'01'!$F$17</f>
        <v>0.8913297848141577</v>
      </c>
      <c r="Q6" s="30">
        <f>'01'!$G$17</f>
        <v>0.88776352481873955</v>
      </c>
      <c r="R6" s="30">
        <f>'01'!$H$17</f>
        <v>0.89554898345563216</v>
      </c>
      <c r="S6" s="30">
        <f>'01'!$I$17</f>
        <v>0.89308892592031508</v>
      </c>
      <c r="T6" s="30">
        <f>'01'!$J$17</f>
        <v>0.81720470763870701</v>
      </c>
      <c r="U6" s="30">
        <f>'01'!$K$17</f>
        <v>0.89083669243771302</v>
      </c>
      <c r="V6" s="30">
        <f>'01'!$L$17</f>
        <v>0.84329020894333984</v>
      </c>
      <c r="W6" s="30">
        <f>'01'!$M$17</f>
        <v>0.82684689925544186</v>
      </c>
      <c r="X6" s="30">
        <f>'01'!$N$17</f>
        <v>0.86646737077249059</v>
      </c>
    </row>
    <row r="7" spans="1:25" s="1" customFormat="1" ht="49.5" customHeight="1" thickTop="1" thickBot="1" x14ac:dyDescent="0.25">
      <c r="A7" s="45" t="s">
        <v>42</v>
      </c>
      <c r="B7" s="46" t="s">
        <v>100</v>
      </c>
      <c r="C7" s="42" t="s">
        <v>149</v>
      </c>
      <c r="D7" s="43" t="s">
        <v>110</v>
      </c>
      <c r="E7" s="29" t="s">
        <v>53</v>
      </c>
      <c r="F7" s="50" t="s">
        <v>80</v>
      </c>
      <c r="G7" s="51" t="s">
        <v>112</v>
      </c>
      <c r="H7" s="51" t="s">
        <v>111</v>
      </c>
      <c r="I7" s="51" t="s">
        <v>107</v>
      </c>
      <c r="J7" s="68">
        <v>0.79</v>
      </c>
      <c r="K7" s="68">
        <v>0.8</v>
      </c>
      <c r="L7" s="30">
        <f>'02'!$O$17</f>
        <v>0.85546332267437242</v>
      </c>
      <c r="M7" s="30">
        <f>'02'!$C$17</f>
        <v>0.87100698588729975</v>
      </c>
      <c r="N7" s="30">
        <f>'02'!$D$17</f>
        <v>0.86409250415001904</v>
      </c>
      <c r="O7" s="30">
        <f>'02'!$E$17</f>
        <v>0.8585125289559058</v>
      </c>
      <c r="P7" s="30">
        <f>'02'!$F$17</f>
        <v>0.87243279786410899</v>
      </c>
      <c r="Q7" s="30">
        <f>'02'!$G$17</f>
        <v>0.87057039723155871</v>
      </c>
      <c r="R7" s="30">
        <f>'02'!$H$17</f>
        <v>0.87683427635254996</v>
      </c>
      <c r="S7" s="30">
        <f>'02'!$I$17</f>
        <v>0.87370124701512342</v>
      </c>
      <c r="T7" s="30">
        <f>'02'!$J$17</f>
        <v>0.80657354027023009</v>
      </c>
      <c r="U7" s="30">
        <f>'02'!$K$17</f>
        <v>0.87798866499145167</v>
      </c>
      <c r="V7" s="30">
        <f>'02'!$L$17</f>
        <v>0.8256247479472274</v>
      </c>
      <c r="W7" s="30">
        <f>'02'!$M$17</f>
        <v>0.8162540541678952</v>
      </c>
      <c r="X7" s="30">
        <f>'02'!$N$17</f>
        <v>0.85363787473076036</v>
      </c>
    </row>
    <row r="8" spans="1:25" s="1" customFormat="1" ht="60" customHeight="1" thickTop="1" thickBot="1" x14ac:dyDescent="0.25">
      <c r="A8" s="45" t="s">
        <v>43</v>
      </c>
      <c r="B8" s="46" t="s">
        <v>180</v>
      </c>
      <c r="C8" s="42" t="s">
        <v>150</v>
      </c>
      <c r="D8" s="43" t="s">
        <v>114</v>
      </c>
      <c r="E8" s="29" t="s">
        <v>53</v>
      </c>
      <c r="F8" s="50" t="s">
        <v>80</v>
      </c>
      <c r="G8" s="51" t="s">
        <v>130</v>
      </c>
      <c r="H8" s="51" t="s">
        <v>129</v>
      </c>
      <c r="I8" s="51" t="s">
        <v>128</v>
      </c>
      <c r="J8" s="69">
        <v>7</v>
      </c>
      <c r="K8" s="69">
        <v>5</v>
      </c>
      <c r="L8" s="53">
        <f>'03'!$O$17</f>
        <v>2.6200445439975653</v>
      </c>
      <c r="M8" s="53">
        <f>'03'!$C$17</f>
        <v>4.1056317820748118</v>
      </c>
      <c r="N8" s="53">
        <f>'03'!$D$17</f>
        <v>4.4098461857338576</v>
      </c>
      <c r="O8" s="53">
        <f>'03'!$E$17</f>
        <v>4.7959622273614855</v>
      </c>
      <c r="P8" s="53">
        <f>'03'!$F$17</f>
        <v>4.6540453757059845</v>
      </c>
      <c r="Q8" s="53">
        <f>'03'!$G$17</f>
        <v>4.5081828752309985</v>
      </c>
      <c r="R8" s="53">
        <f>'03'!$H$17</f>
        <v>4.3416857565548277</v>
      </c>
      <c r="S8" s="53">
        <f>'03'!$I$17</f>
        <v>4.7330925463125304</v>
      </c>
      <c r="T8" s="53">
        <f>'03'!$J$17</f>
        <v>0</v>
      </c>
      <c r="U8" s="53">
        <f>'03'!$K$17</f>
        <v>0</v>
      </c>
      <c r="V8" s="53">
        <f>'03'!$L$17</f>
        <v>0</v>
      </c>
      <c r="W8" s="53">
        <f>'03'!$M$17</f>
        <v>0</v>
      </c>
      <c r="X8" s="53">
        <f>'03'!$N$17</f>
        <v>0</v>
      </c>
    </row>
    <row r="9" spans="1:25" s="1" customFormat="1" ht="52.5" customHeight="1" thickTop="1" thickBot="1" x14ac:dyDescent="0.25">
      <c r="A9" s="45" t="s">
        <v>44</v>
      </c>
      <c r="B9" s="46" t="s">
        <v>181</v>
      </c>
      <c r="C9" s="42" t="s">
        <v>151</v>
      </c>
      <c r="D9" s="43" t="s">
        <v>115</v>
      </c>
      <c r="E9" s="29" t="s">
        <v>53</v>
      </c>
      <c r="F9" s="50" t="s">
        <v>80</v>
      </c>
      <c r="G9" s="51" t="s">
        <v>109</v>
      </c>
      <c r="H9" s="51" t="s">
        <v>108</v>
      </c>
      <c r="I9" s="51" t="s">
        <v>107</v>
      </c>
      <c r="J9" s="68">
        <v>0.92</v>
      </c>
      <c r="K9" s="68">
        <v>1</v>
      </c>
      <c r="L9" s="30" t="str">
        <f>'04'!$O$17</f>
        <v>-</v>
      </c>
      <c r="M9" s="30" t="str">
        <f>'04'!$C$17</f>
        <v>-</v>
      </c>
      <c r="N9" s="30" t="str">
        <f>'04'!$D$17</f>
        <v>-</v>
      </c>
      <c r="O9" s="30" t="str">
        <f>'04'!$E$17</f>
        <v>-</v>
      </c>
      <c r="P9" s="30" t="str">
        <f>'04'!$F$17</f>
        <v>-</v>
      </c>
      <c r="Q9" s="30" t="str">
        <f>'04'!$G$17</f>
        <v>-</v>
      </c>
      <c r="R9" s="30" t="str">
        <f>'04'!$H$17</f>
        <v>-</v>
      </c>
      <c r="S9" s="30" t="str">
        <f>'04'!$I$17</f>
        <v>-</v>
      </c>
      <c r="T9" s="30" t="str">
        <f>'04'!$J$17</f>
        <v>-</v>
      </c>
      <c r="U9" s="30" t="str">
        <f>'04'!$K$17</f>
        <v>-</v>
      </c>
      <c r="V9" s="30" t="str">
        <f>'04'!$L$17</f>
        <v>-</v>
      </c>
      <c r="W9" s="30" t="str">
        <f>'04'!$M$17</f>
        <v>-</v>
      </c>
      <c r="X9" s="30" t="str">
        <f>'04'!$N$17</f>
        <v>-</v>
      </c>
    </row>
    <row r="10" spans="1:25" s="1" customFormat="1" ht="60" customHeight="1" thickTop="1" thickBot="1" x14ac:dyDescent="0.25">
      <c r="A10" s="45" t="s">
        <v>45</v>
      </c>
      <c r="B10" s="46" t="s">
        <v>176</v>
      </c>
      <c r="C10" s="42" t="s">
        <v>153</v>
      </c>
      <c r="D10" s="43" t="s">
        <v>254</v>
      </c>
      <c r="E10" s="29" t="s">
        <v>53</v>
      </c>
      <c r="F10" s="50" t="s">
        <v>80</v>
      </c>
      <c r="G10" s="51" t="s">
        <v>109</v>
      </c>
      <c r="H10" s="51" t="s">
        <v>108</v>
      </c>
      <c r="I10" s="51" t="s">
        <v>107</v>
      </c>
      <c r="J10" s="68">
        <v>0.99</v>
      </c>
      <c r="K10" s="68">
        <v>1</v>
      </c>
      <c r="L10" s="30">
        <f>'05'!$O$17</f>
        <v>0.99381017881705636</v>
      </c>
      <c r="M10" s="30">
        <f>'05'!$C$17</f>
        <v>0.99582898852971846</v>
      </c>
      <c r="N10" s="30">
        <f>'05'!$D$17</f>
        <v>0.99583766909469307</v>
      </c>
      <c r="O10" s="30">
        <f>'05'!$E$17</f>
        <v>0.99584199584199584</v>
      </c>
      <c r="P10" s="30">
        <f>'05'!$F$17</f>
        <v>0.99585492227979278</v>
      </c>
      <c r="Q10" s="30">
        <f>'05'!$G$17</f>
        <v>0.9927835051546392</v>
      </c>
      <c r="R10" s="30">
        <f>'05'!$H$17</f>
        <v>0.9927909371781668</v>
      </c>
      <c r="S10" s="30">
        <f>'05'!$I$17</f>
        <v>0.9927835051546392</v>
      </c>
      <c r="T10" s="30">
        <f>'05'!$J$17</f>
        <v>0.9928057553956835</v>
      </c>
      <c r="U10" s="30">
        <f>'05'!$K$17</f>
        <v>0.99282051282051287</v>
      </c>
      <c r="V10" s="30">
        <f>'05'!$L$17</f>
        <v>0.99282051282051287</v>
      </c>
      <c r="W10" s="30">
        <f>'05'!$M$17</f>
        <v>0.99282051282051287</v>
      </c>
      <c r="X10" s="30">
        <f>'05'!$N$17</f>
        <v>0.99282786885245899</v>
      </c>
    </row>
    <row r="11" spans="1:25" s="1" customFormat="1" ht="52.5" customHeight="1" thickTop="1" thickBot="1" x14ac:dyDescent="0.25">
      <c r="A11" s="45" t="s">
        <v>46</v>
      </c>
      <c r="B11" s="47" t="s">
        <v>177</v>
      </c>
      <c r="C11" s="42" t="s">
        <v>152</v>
      </c>
      <c r="D11" s="43" t="s">
        <v>255</v>
      </c>
      <c r="E11" s="29" t="s">
        <v>53</v>
      </c>
      <c r="F11" s="50" t="s">
        <v>80</v>
      </c>
      <c r="G11" s="51" t="s">
        <v>109</v>
      </c>
      <c r="H11" s="51" t="s">
        <v>108</v>
      </c>
      <c r="I11" s="51" t="s">
        <v>107</v>
      </c>
      <c r="J11" s="68">
        <v>0.97</v>
      </c>
      <c r="K11" s="68">
        <v>1</v>
      </c>
      <c r="L11" s="30">
        <f>'06'!$O$17</f>
        <v>0.97799174690508939</v>
      </c>
      <c r="M11" s="30">
        <f>'06'!$C$17</f>
        <v>0.97601668404588116</v>
      </c>
      <c r="N11" s="30">
        <f>'06'!$D$17</f>
        <v>0.9802289281997919</v>
      </c>
      <c r="O11" s="30">
        <f>'06'!$E$17</f>
        <v>0.98024948024948022</v>
      </c>
      <c r="P11" s="30">
        <f>'06'!$F$17</f>
        <v>0.98031088082901552</v>
      </c>
      <c r="Q11" s="30">
        <f>'06'!$G$17</f>
        <v>0.97731958762886595</v>
      </c>
      <c r="R11" s="30">
        <f>'06'!$H$17</f>
        <v>0.97734294541709577</v>
      </c>
      <c r="S11" s="30">
        <f>'06'!$I$17</f>
        <v>0.97731958762886595</v>
      </c>
      <c r="T11" s="30">
        <f>'06'!$J$17</f>
        <v>0.97738951695786225</v>
      </c>
      <c r="U11" s="30">
        <f>'06'!$K$17</f>
        <v>0.97743589743589743</v>
      </c>
      <c r="V11" s="30">
        <f>'06'!$L$17</f>
        <v>0.97743589743589743</v>
      </c>
      <c r="W11" s="30">
        <f>'06'!$M$17</f>
        <v>0.97743589743589743</v>
      </c>
      <c r="X11" s="30">
        <f>'06'!$N$17</f>
        <v>0.97745901639344257</v>
      </c>
    </row>
    <row r="12" spans="1:25" s="1" customFormat="1" ht="48.75" customHeight="1" thickTop="1" thickBot="1" x14ac:dyDescent="0.25">
      <c r="A12" s="45" t="s">
        <v>47</v>
      </c>
      <c r="B12" s="46" t="s">
        <v>178</v>
      </c>
      <c r="C12" s="42" t="s">
        <v>154</v>
      </c>
      <c r="D12" s="43" t="s">
        <v>116</v>
      </c>
      <c r="E12" s="29" t="s">
        <v>53</v>
      </c>
      <c r="F12" s="50" t="s">
        <v>80</v>
      </c>
      <c r="G12" s="51" t="s">
        <v>109</v>
      </c>
      <c r="H12" s="51" t="s">
        <v>108</v>
      </c>
      <c r="I12" s="51" t="s">
        <v>107</v>
      </c>
      <c r="J12" s="68">
        <v>0.97</v>
      </c>
      <c r="K12" s="68">
        <v>1</v>
      </c>
      <c r="L12" s="30">
        <f>'07'!$O$17</f>
        <v>0.97832071921939479</v>
      </c>
      <c r="M12" s="30">
        <f>'07'!$C$17</f>
        <v>0.98018769551616269</v>
      </c>
      <c r="N12" s="30">
        <f>'07'!$D$17</f>
        <v>0.98022892819979179</v>
      </c>
      <c r="O12" s="30">
        <f>'07'!$E$17</f>
        <v>0.98024948024948022</v>
      </c>
      <c r="P12" s="30">
        <f>'07'!$F$17</f>
        <v>0.98031088082901552</v>
      </c>
      <c r="Q12" s="30">
        <f>'07'!$G$17</f>
        <v>0.97731958762886595</v>
      </c>
      <c r="R12" s="30">
        <f>'07'!$H$17</f>
        <v>0.97734294541709577</v>
      </c>
      <c r="S12" s="30">
        <f>'07'!$I$17</f>
        <v>0.97731958762886595</v>
      </c>
      <c r="T12" s="30">
        <f>'07'!$J$17</f>
        <v>0.97738951695786225</v>
      </c>
      <c r="U12" s="30">
        <f>'07'!$K$17</f>
        <v>0.97743589743589743</v>
      </c>
      <c r="V12" s="30">
        <f>'07'!$L$17</f>
        <v>0.97743589743589743</v>
      </c>
      <c r="W12" s="30">
        <f>'07'!$M$17</f>
        <v>0.97743589743589743</v>
      </c>
      <c r="X12" s="30">
        <f>'07'!$N$17</f>
        <v>0.97745901639344246</v>
      </c>
    </row>
    <row r="13" spans="1:25" s="1" customFormat="1" ht="47.25" customHeight="1" thickTop="1" thickBot="1" x14ac:dyDescent="0.25">
      <c r="A13" s="45" t="s">
        <v>48</v>
      </c>
      <c r="B13" s="46" t="s">
        <v>101</v>
      </c>
      <c r="C13" s="42" t="s">
        <v>156</v>
      </c>
      <c r="D13" s="43" t="s">
        <v>256</v>
      </c>
      <c r="E13" s="29" t="s">
        <v>53</v>
      </c>
      <c r="F13" s="50" t="s">
        <v>80</v>
      </c>
      <c r="G13" s="51" t="s">
        <v>109</v>
      </c>
      <c r="H13" s="51" t="s">
        <v>108</v>
      </c>
      <c r="I13" s="51" t="s">
        <v>107</v>
      </c>
      <c r="J13" s="68">
        <v>0.98</v>
      </c>
      <c r="K13" s="68">
        <v>0.9</v>
      </c>
      <c r="L13" s="30">
        <f>'08'!$O$17</f>
        <v>0.97188581314878897</v>
      </c>
      <c r="M13" s="30">
        <f>'08'!$C$17</f>
        <v>0.97801047120418849</v>
      </c>
      <c r="N13" s="30">
        <f>'08'!$D$17</f>
        <v>0.9791013584117032</v>
      </c>
      <c r="O13" s="30">
        <f>'08'!$E$17</f>
        <v>0.97599164926931103</v>
      </c>
      <c r="P13" s="30">
        <f>'08'!$F$17</f>
        <v>0.96462018730489074</v>
      </c>
      <c r="Q13" s="30">
        <f>'08'!$G$17</f>
        <v>0.96677050882658355</v>
      </c>
      <c r="R13" s="30">
        <f>'08'!$H$17</f>
        <v>0.96887966804979253</v>
      </c>
      <c r="S13" s="30">
        <f>'08'!$I$17</f>
        <v>0.96677050882658355</v>
      </c>
      <c r="T13" s="30">
        <f>'08'!$J$17</f>
        <v>0.96790890269151142</v>
      </c>
      <c r="U13" s="30">
        <f>'08'!$K$17</f>
        <v>0.9700413223140496</v>
      </c>
      <c r="V13" s="30">
        <f>'08'!$L$17</f>
        <v>0.9824380165289256</v>
      </c>
      <c r="W13" s="30">
        <f>'08'!$M$17</f>
        <v>0.9700413223140496</v>
      </c>
      <c r="X13" s="30">
        <f>'08'!$N$17</f>
        <v>0.97213622291021673</v>
      </c>
    </row>
    <row r="14" spans="1:25" s="2" customFormat="1" ht="49.5" customHeight="1" thickTop="1" thickBot="1" x14ac:dyDescent="0.3">
      <c r="A14" s="45" t="s">
        <v>49</v>
      </c>
      <c r="B14" s="46" t="s">
        <v>102</v>
      </c>
      <c r="C14" s="42" t="s">
        <v>161</v>
      </c>
      <c r="D14" s="43" t="s">
        <v>117</v>
      </c>
      <c r="E14" s="29" t="s">
        <v>53</v>
      </c>
      <c r="F14" s="50" t="s">
        <v>80</v>
      </c>
      <c r="G14" s="51" t="s">
        <v>120</v>
      </c>
      <c r="H14" s="51" t="s">
        <v>119</v>
      </c>
      <c r="I14" s="51" t="s">
        <v>118</v>
      </c>
      <c r="J14" s="68">
        <v>0.05</v>
      </c>
      <c r="K14" s="68">
        <v>0.05</v>
      </c>
      <c r="L14" s="30">
        <f>'09'!$O$17</f>
        <v>0</v>
      </c>
      <c r="M14" s="30" t="str">
        <f>'09'!$C$17</f>
        <v>-</v>
      </c>
      <c r="N14" s="30" t="str">
        <f>'09'!$D$17</f>
        <v>-</v>
      </c>
      <c r="O14" s="30" t="str">
        <f>'09'!$E$17</f>
        <v>-</v>
      </c>
      <c r="P14" s="30" t="str">
        <f>'09'!$F$17</f>
        <v>-</v>
      </c>
      <c r="Q14" s="30" t="str">
        <f>'09'!$G$17</f>
        <v>-</v>
      </c>
      <c r="R14" s="30" t="str">
        <f>'09'!$H$17</f>
        <v>-</v>
      </c>
      <c r="S14" s="30" t="str">
        <f>'09'!$I$17</f>
        <v>-</v>
      </c>
      <c r="T14" s="30" t="str">
        <f>'09'!$J$17</f>
        <v>-</v>
      </c>
      <c r="U14" s="30" t="str">
        <f>'09'!$K$17</f>
        <v>-</v>
      </c>
      <c r="V14" s="30" t="str">
        <f>'09'!$L$17</f>
        <v>-</v>
      </c>
      <c r="W14" s="30" t="str">
        <f>'09'!$M$17</f>
        <v>-</v>
      </c>
      <c r="X14" s="30" t="str">
        <f>'09'!$N$17</f>
        <v>-</v>
      </c>
    </row>
    <row r="15" spans="1:25" s="2" customFormat="1" ht="48.75" customHeight="1" thickTop="1" thickBot="1" x14ac:dyDescent="0.3">
      <c r="A15" s="45" t="s">
        <v>95</v>
      </c>
      <c r="B15" s="46" t="s">
        <v>103</v>
      </c>
      <c r="C15" s="42" t="s">
        <v>155</v>
      </c>
      <c r="D15" s="43" t="s">
        <v>121</v>
      </c>
      <c r="E15" s="29" t="s">
        <v>53</v>
      </c>
      <c r="F15" s="50" t="s">
        <v>80</v>
      </c>
      <c r="G15" s="51" t="s">
        <v>124</v>
      </c>
      <c r="H15" s="51" t="s">
        <v>123</v>
      </c>
      <c r="I15" s="51" t="s">
        <v>122</v>
      </c>
      <c r="J15" s="68">
        <v>0.63</v>
      </c>
      <c r="K15" s="68">
        <v>0.5</v>
      </c>
      <c r="L15" s="30">
        <f>'10'!$O$17</f>
        <v>0.56764364463826789</v>
      </c>
      <c r="M15" s="30">
        <f>'10'!$C$17</f>
        <v>0.59827200953374049</v>
      </c>
      <c r="N15" s="30">
        <f>'10'!$D$17</f>
        <v>0.64160508963186325</v>
      </c>
      <c r="O15" s="30">
        <f>'10'!$E$17</f>
        <v>0.67483102870961742</v>
      </c>
      <c r="P15" s="30">
        <f>'10'!$F$17</f>
        <v>0.61486444568521625</v>
      </c>
      <c r="Q15" s="30">
        <f>'10'!$G$17</f>
        <v>0.66711445459430418</v>
      </c>
      <c r="R15" s="30">
        <f>'10'!$H$17</f>
        <v>0.60651621003831169</v>
      </c>
      <c r="S15" s="30">
        <f>'10'!$I$17</f>
        <v>0.4925420754566483</v>
      </c>
      <c r="T15" s="30">
        <f>'10'!$J$17</f>
        <v>0.36463521076141092</v>
      </c>
      <c r="U15" s="30">
        <f>'10'!$K$17</f>
        <v>0.49399289790655393</v>
      </c>
      <c r="V15" s="30">
        <f>'10'!$L$17</f>
        <v>0.51444152117305797</v>
      </c>
      <c r="W15" s="30">
        <f>'10'!$M$17</f>
        <v>0.22333580507531015</v>
      </c>
      <c r="X15" s="30">
        <f>'10'!$N$17</f>
        <v>0.60290875333616989</v>
      </c>
    </row>
    <row r="16" spans="1:25" s="2" customFormat="1" ht="47.25" customHeight="1" thickTop="1" thickBot="1" x14ac:dyDescent="0.3">
      <c r="A16" s="45" t="s">
        <v>96</v>
      </c>
      <c r="B16" s="46" t="s">
        <v>179</v>
      </c>
      <c r="C16" s="42" t="s">
        <v>157</v>
      </c>
      <c r="D16" s="43" t="s">
        <v>170</v>
      </c>
      <c r="E16" s="29" t="s">
        <v>53</v>
      </c>
      <c r="F16" s="50" t="s">
        <v>80</v>
      </c>
      <c r="G16" s="51" t="s">
        <v>109</v>
      </c>
      <c r="H16" s="51" t="s">
        <v>108</v>
      </c>
      <c r="I16" s="51" t="s">
        <v>107</v>
      </c>
      <c r="J16" s="68">
        <v>0.98</v>
      </c>
      <c r="K16" s="68">
        <v>0.99</v>
      </c>
      <c r="L16" s="30">
        <f>'11'!$O$17</f>
        <v>0.97194444444444439</v>
      </c>
      <c r="M16" s="30">
        <f>'11'!$C$17</f>
        <v>0.97361111111111109</v>
      </c>
      <c r="N16" s="30">
        <f>'11'!$D$17</f>
        <v>0.97083333333333333</v>
      </c>
      <c r="O16" s="30">
        <f>'11'!$E$17</f>
        <v>0.97638888888888886</v>
      </c>
      <c r="P16" s="30">
        <f>'11'!$F$17</f>
        <v>0.96805555555555556</v>
      </c>
      <c r="Q16" s="30">
        <f>'11'!$G$17</f>
        <v>0.97083333333333333</v>
      </c>
      <c r="R16" s="30" t="str">
        <f>'11'!$H$17</f>
        <v>-</v>
      </c>
      <c r="S16" s="30" t="str">
        <f>'11'!$I$17</f>
        <v>-</v>
      </c>
      <c r="T16" s="30" t="str">
        <f>'11'!$J$17</f>
        <v>-</v>
      </c>
      <c r="U16" s="30" t="str">
        <f>'11'!$K$17</f>
        <v>-</v>
      </c>
      <c r="V16" s="30" t="str">
        <f>'11'!$L$17</f>
        <v>-</v>
      </c>
      <c r="W16" s="30" t="str">
        <f>'11'!$M$17</f>
        <v>-</v>
      </c>
      <c r="X16" s="30" t="str">
        <f>'11'!$N$17</f>
        <v>-</v>
      </c>
      <c r="Y16" s="57"/>
    </row>
    <row r="17" spans="1:26" s="2" customFormat="1" ht="48.75" customHeight="1" thickTop="1" thickBot="1" x14ac:dyDescent="0.3">
      <c r="A17" s="45" t="s">
        <v>97</v>
      </c>
      <c r="B17" s="46" t="s">
        <v>104</v>
      </c>
      <c r="C17" s="42" t="s">
        <v>158</v>
      </c>
      <c r="D17" s="43" t="s">
        <v>257</v>
      </c>
      <c r="E17" s="29" t="s">
        <v>65</v>
      </c>
      <c r="F17" s="50" t="s">
        <v>80</v>
      </c>
      <c r="G17" s="51" t="s">
        <v>127</v>
      </c>
      <c r="H17" s="51" t="s">
        <v>126</v>
      </c>
      <c r="I17" s="51" t="s">
        <v>125</v>
      </c>
      <c r="J17" s="68">
        <v>1</v>
      </c>
      <c r="K17" s="68">
        <v>1</v>
      </c>
      <c r="L17" s="30" t="str">
        <f>'12'!$O$17</f>
        <v>-</v>
      </c>
      <c r="M17" s="30" t="str">
        <f>'12'!$C$17</f>
        <v>-</v>
      </c>
      <c r="N17" s="30" t="str">
        <f>'12'!$D$17</f>
        <v>-</v>
      </c>
      <c r="O17" s="30" t="str">
        <f>'12'!$E$17</f>
        <v>-</v>
      </c>
      <c r="P17" s="30" t="str">
        <f>'12'!$F$17</f>
        <v>-</v>
      </c>
      <c r="Q17" s="30" t="str">
        <f>'12'!$G$17</f>
        <v>-</v>
      </c>
      <c r="R17" s="30" t="str">
        <f>'12'!$H$17</f>
        <v>-</v>
      </c>
      <c r="S17" s="30" t="str">
        <f>'12'!$I$17</f>
        <v>-</v>
      </c>
      <c r="T17" s="30" t="str">
        <f>'12'!$J$17</f>
        <v>-</v>
      </c>
      <c r="U17" s="30" t="str">
        <f>'12'!$K$17</f>
        <v>-</v>
      </c>
      <c r="V17" s="30" t="str">
        <f>'12'!$L$17</f>
        <v>-</v>
      </c>
      <c r="W17" s="30" t="str">
        <f>'12'!$M$17</f>
        <v>-</v>
      </c>
      <c r="X17" s="30" t="str">
        <f>'12'!$N$17</f>
        <v>-</v>
      </c>
    </row>
    <row r="18" spans="1:26" s="2" customFormat="1" ht="48.75" customHeight="1" thickTop="1" thickBot="1" x14ac:dyDescent="0.3">
      <c r="A18" s="45" t="s">
        <v>98</v>
      </c>
      <c r="B18" s="46" t="s">
        <v>162</v>
      </c>
      <c r="C18" s="42" t="s">
        <v>163</v>
      </c>
      <c r="D18" s="43" t="s">
        <v>258</v>
      </c>
      <c r="E18" s="29" t="s">
        <v>53</v>
      </c>
      <c r="F18" s="50" t="s">
        <v>80</v>
      </c>
      <c r="G18" s="51" t="s">
        <v>164</v>
      </c>
      <c r="H18" s="51" t="s">
        <v>165</v>
      </c>
      <c r="I18" s="51" t="s">
        <v>166</v>
      </c>
      <c r="J18" s="68" t="s">
        <v>267</v>
      </c>
      <c r="K18" s="68" t="s">
        <v>267</v>
      </c>
      <c r="L18" s="30">
        <f>'13'!$O$17</f>
        <v>3.2871972318339101E-3</v>
      </c>
      <c r="M18" s="30">
        <f>'13'!$C$17</f>
        <v>1.0471204188481676E-3</v>
      </c>
      <c r="N18" s="30">
        <f>'13'!$D$17</f>
        <v>4.1797283176593526E-3</v>
      </c>
      <c r="O18" s="30">
        <f>'13'!$E$17</f>
        <v>6.2630480167014616E-3</v>
      </c>
      <c r="P18" s="30">
        <f>'13'!$F$17</f>
        <v>1.0405827263267431E-3</v>
      </c>
      <c r="Q18" s="30">
        <f>'13'!$G$17</f>
        <v>3.1152647975077881E-3</v>
      </c>
      <c r="R18" s="30">
        <f>'13'!$H$17</f>
        <v>1.037344398340249E-3</v>
      </c>
      <c r="S18" s="30">
        <f>'13'!$I$17</f>
        <v>2.0768431983385254E-3</v>
      </c>
      <c r="T18" s="30">
        <f>'13'!$J$17</f>
        <v>5.175983436853002E-3</v>
      </c>
      <c r="U18" s="30">
        <f>'13'!$K$17</f>
        <v>3.0991735537190084E-3</v>
      </c>
      <c r="V18" s="30">
        <f>'13'!$L$17</f>
        <v>2.0661157024793389E-3</v>
      </c>
      <c r="W18" s="30">
        <f>'13'!$M$17</f>
        <v>6.1983471074380167E-3</v>
      </c>
      <c r="X18" s="30">
        <f>'13'!$N$17</f>
        <v>4.1279669762641896E-3</v>
      </c>
    </row>
    <row r="19" spans="1:26" s="2" customFormat="1" ht="49.5" customHeight="1" thickTop="1" thickBot="1" x14ac:dyDescent="0.3">
      <c r="A19" s="45" t="s">
        <v>160</v>
      </c>
      <c r="B19" s="46" t="s">
        <v>105</v>
      </c>
      <c r="C19" s="42" t="s">
        <v>159</v>
      </c>
      <c r="D19" s="43" t="s">
        <v>147</v>
      </c>
      <c r="E19" s="29" t="s">
        <v>53</v>
      </c>
      <c r="F19" s="50" t="s">
        <v>80</v>
      </c>
      <c r="G19" s="51" t="s">
        <v>127</v>
      </c>
      <c r="H19" s="51" t="s">
        <v>126</v>
      </c>
      <c r="I19" s="51" t="s">
        <v>125</v>
      </c>
      <c r="J19" s="68">
        <v>0.98</v>
      </c>
      <c r="K19" s="68">
        <v>1</v>
      </c>
      <c r="L19" s="30">
        <f>'14'!$O$17</f>
        <v>0.97832071921939479</v>
      </c>
      <c r="M19" s="30">
        <f>'14'!$C$17</f>
        <v>0.98018769551616269</v>
      </c>
      <c r="N19" s="30">
        <f>'14'!$D$17</f>
        <v>0.98022892819979179</v>
      </c>
      <c r="O19" s="30">
        <f>'14'!$E$17</f>
        <v>0.98024948024948022</v>
      </c>
      <c r="P19" s="30">
        <f>'14'!$F$17</f>
        <v>0.98031088082901552</v>
      </c>
      <c r="Q19" s="30">
        <f>'14'!$G$17</f>
        <v>0.97731958762886595</v>
      </c>
      <c r="R19" s="30">
        <f>'14'!$H$17</f>
        <v>0.97734294541709577</v>
      </c>
      <c r="S19" s="30">
        <f>'14'!$I$17</f>
        <v>0.97731958762886595</v>
      </c>
      <c r="T19" s="30">
        <f>'14'!$J$17</f>
        <v>0.97738951695786225</v>
      </c>
      <c r="U19" s="30">
        <f>'14'!$K$17</f>
        <v>0.97743589743589743</v>
      </c>
      <c r="V19" s="30">
        <f>'14'!$L$17</f>
        <v>0.97743589743589743</v>
      </c>
      <c r="W19" s="30">
        <f>'14'!$M$17</f>
        <v>0.97743589743589743</v>
      </c>
      <c r="X19" s="30">
        <f>'14'!$N$17</f>
        <v>0.97745901639344246</v>
      </c>
    </row>
    <row r="20" spans="1:26" ht="6.75" customHeight="1" thickTop="1" x14ac:dyDescent="0.25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2" spans="1:26" x14ac:dyDescent="0.25">
      <c r="Z22" s="49" t="s">
        <v>68</v>
      </c>
    </row>
    <row r="23" spans="1:26" x14ac:dyDescent="0.25">
      <c r="Z23" s="49" t="s">
        <v>69</v>
      </c>
    </row>
    <row r="24" spans="1:26" x14ac:dyDescent="0.25">
      <c r="Z24" s="49" t="s">
        <v>70</v>
      </c>
    </row>
    <row r="25" spans="1:26" x14ac:dyDescent="0.25">
      <c r="Z25" s="49" t="s">
        <v>71</v>
      </c>
    </row>
    <row r="26" spans="1:26" x14ac:dyDescent="0.25">
      <c r="Z26" s="49" t="s">
        <v>72</v>
      </c>
    </row>
    <row r="27" spans="1:26" x14ac:dyDescent="0.25">
      <c r="Z27" s="49" t="s">
        <v>73</v>
      </c>
    </row>
    <row r="28" spans="1:26" x14ac:dyDescent="0.25">
      <c r="Z28" s="49" t="s">
        <v>74</v>
      </c>
    </row>
    <row r="29" spans="1:26" x14ac:dyDescent="0.25">
      <c r="Z29" s="49" t="s">
        <v>75</v>
      </c>
    </row>
    <row r="30" spans="1:26" x14ac:dyDescent="0.25">
      <c r="Z30" s="49" t="s">
        <v>171</v>
      </c>
    </row>
    <row r="31" spans="1:26" x14ac:dyDescent="0.25">
      <c r="Z31" s="49" t="s">
        <v>76</v>
      </c>
    </row>
    <row r="32" spans="1:26" x14ac:dyDescent="0.25">
      <c r="Z32" s="49" t="s">
        <v>77</v>
      </c>
    </row>
    <row r="33" spans="26:26" x14ac:dyDescent="0.25">
      <c r="Z33" s="49" t="s">
        <v>78</v>
      </c>
    </row>
    <row r="34" spans="26:26" x14ac:dyDescent="0.25">
      <c r="Z34" s="49" t="s">
        <v>79</v>
      </c>
    </row>
    <row r="36" spans="26:26" x14ac:dyDescent="0.25">
      <c r="Z36" s="49" t="s">
        <v>80</v>
      </c>
    </row>
    <row r="37" spans="26:26" x14ac:dyDescent="0.25">
      <c r="Z37" s="49" t="s">
        <v>56</v>
      </c>
    </row>
    <row r="38" spans="26:26" x14ac:dyDescent="0.25">
      <c r="Z38" s="49" t="s">
        <v>57</v>
      </c>
    </row>
    <row r="40" spans="26:26" x14ac:dyDescent="0.25">
      <c r="Z40" s="48" t="s">
        <v>4</v>
      </c>
    </row>
    <row r="41" spans="26:26" x14ac:dyDescent="0.25">
      <c r="Z41" s="48" t="s">
        <v>63</v>
      </c>
    </row>
    <row r="42" spans="26:26" x14ac:dyDescent="0.25">
      <c r="Z42" s="48" t="s">
        <v>53</v>
      </c>
    </row>
    <row r="43" spans="26:26" x14ac:dyDescent="0.25">
      <c r="Z43" s="48" t="s">
        <v>64</v>
      </c>
    </row>
    <row r="44" spans="26:26" x14ac:dyDescent="0.25">
      <c r="Z44" s="48" t="s">
        <v>65</v>
      </c>
    </row>
    <row r="45" spans="26:26" x14ac:dyDescent="0.25">
      <c r="Z45" s="48" t="s">
        <v>52</v>
      </c>
    </row>
  </sheetData>
  <sheetProtection algorithmName="SHA-512" hashValue="nNRv1pX4ZbBwI4WM0dqtLXcGjlyunTo7UjgL+Ehm8+MVwQoRE489YUfI82cn9ksXwsF5O4AyCGEcn5DcMgsMvA==" saltValue="yy9XYfbtzdLQ40Fln48COA==" spinCount="100000" sheet="1" objects="1" scenarios="1"/>
  <mergeCells count="15">
    <mergeCell ref="A20:X20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7:X7">
    <cfRule type="cellIs" dxfId="26" priority="28" operator="between">
      <formula>0.71</formula>
      <formula>100000</formula>
    </cfRule>
    <cfRule type="cellIs" dxfId="25" priority="29" operator="between">
      <formula>0.6</formula>
      <formula>0.709</formula>
    </cfRule>
    <cfRule type="cellIs" dxfId="24" priority="30" operator="between">
      <formula>0</formula>
      <formula>0.599</formula>
    </cfRule>
  </conditionalFormatting>
  <conditionalFormatting sqref="L8:X8">
    <cfRule type="cellIs" dxfId="23" priority="25" operator="between">
      <formula>45</formula>
      <formula>1000000000</formula>
    </cfRule>
    <cfRule type="cellIs" dxfId="22" priority="26" operator="between">
      <formula>31</formula>
      <formula>44.9</formula>
    </cfRule>
    <cfRule type="cellIs" dxfId="21" priority="27" operator="between">
      <formula>0</formula>
      <formula>30.9</formula>
    </cfRule>
  </conditionalFormatting>
  <conditionalFormatting sqref="L9:X13">
    <cfRule type="cellIs" dxfId="20" priority="22" operator="between">
      <formula>0.8</formula>
      <formula>10000000</formula>
    </cfRule>
    <cfRule type="cellIs" dxfId="19" priority="23" operator="between">
      <formula>0.6</formula>
      <formula>0.799</formula>
    </cfRule>
    <cfRule type="cellIs" dxfId="18" priority="24" operator="between">
      <formula>0</formula>
      <formula>0.599</formula>
    </cfRule>
  </conditionalFormatting>
  <conditionalFormatting sqref="L14:X14">
    <cfRule type="cellIs" dxfId="17" priority="19" operator="between">
      <formula>0.081</formula>
      <formula>100000000</formula>
    </cfRule>
    <cfRule type="cellIs" dxfId="16" priority="20" operator="between">
      <formula>0.05</formula>
      <formula>0.08</formula>
    </cfRule>
    <cfRule type="cellIs" dxfId="15" priority="21" operator="between">
      <formula>0</formula>
      <formula>0.049</formula>
    </cfRule>
  </conditionalFormatting>
  <conditionalFormatting sqref="L15:X15">
    <cfRule type="cellIs" dxfId="14" priority="16" operator="between">
      <formula>0.501</formula>
      <formula>1000000</formula>
    </cfRule>
    <cfRule type="cellIs" dxfId="13" priority="17" operator="between">
      <formula>0.3</formula>
      <formula>0.5</formula>
    </cfRule>
    <cfRule type="cellIs" dxfId="12" priority="18" operator="between">
      <formula>0</formula>
      <formula>0.299</formula>
    </cfRule>
  </conditionalFormatting>
  <conditionalFormatting sqref="L16:X16">
    <cfRule type="cellIs" dxfId="11" priority="13" operator="between">
      <formula>0.8</formula>
      <formula>1000000</formula>
    </cfRule>
    <cfRule type="cellIs" dxfId="10" priority="14" operator="between">
      <formula>0.6</formula>
      <formula>0.799</formula>
    </cfRule>
    <cfRule type="cellIs" dxfId="9" priority="15" operator="between">
      <formula>0</formula>
      <formula>0.599</formula>
    </cfRule>
  </conditionalFormatting>
  <conditionalFormatting sqref="L17:X17 L19:X19">
    <cfRule type="cellIs" dxfId="8" priority="10" operator="between">
      <formula>0.91</formula>
      <formula>10000000</formula>
    </cfRule>
    <cfRule type="cellIs" dxfId="7" priority="11" operator="between">
      <formula>0.71</formula>
      <formula>0.909</formula>
    </cfRule>
    <cfRule type="cellIs" dxfId="6" priority="12" operator="between">
      <formula>0</formula>
      <formula>0.709</formula>
    </cfRule>
  </conditionalFormatting>
  <conditionalFormatting sqref="L18:X18">
    <cfRule type="cellIs" dxfId="5" priority="4" operator="between">
      <formula>0.201</formula>
      <formula>1000000</formula>
    </cfRule>
    <cfRule type="cellIs" dxfId="4" priority="5" operator="between">
      <formula>0.101</formula>
      <formula>0.2</formula>
    </cfRule>
    <cfRule type="cellIs" dxfId="3" priority="6" operator="between">
      <formula>0</formula>
      <formula>0.1</formula>
    </cfRule>
  </conditionalFormatting>
  <conditionalFormatting sqref="L6:X6">
    <cfRule type="cellIs" dxfId="2" priority="1" operator="between">
      <formula>0.8</formula>
      <formula>1000000</formula>
    </cfRule>
    <cfRule type="cellIs" dxfId="1" priority="2" operator="between">
      <formula>0.59</formula>
      <formula>0.7999</formula>
    </cfRule>
    <cfRule type="cellIs" dxfId="0" priority="3" operator="lessThan">
      <formula>0.59</formula>
    </cfRule>
  </conditionalFormatting>
  <dataValidations disablePrompts="1" count="3">
    <dataValidation type="list" allowBlank="1" showInputMessage="1" showErrorMessage="1" sqref="E6:E19">
      <formula1>$Z$40:$Z$45</formula1>
    </dataValidation>
    <dataValidation type="list" allowBlank="1" showInputMessage="1" showErrorMessage="1" sqref="J3:X3">
      <formula1>$Z$22:$Z$34</formula1>
    </dataValidation>
    <dataValidation type="list" allowBlank="1" showInputMessage="1" showErrorMessage="1" sqref="F6:F19">
      <formula1>$Z$36:$Z$38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5" zoomScaleSheetLayoutView="72" workbookViewId="0">
      <selection activeCell="A29" sqref="A29:M29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5703125" style="3" customWidth="1"/>
    <col min="17" max="18" width="6.5703125" style="3" hidden="1" customWidth="1"/>
    <col min="19" max="19" width="6.57031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Paicol'!$B14</f>
        <v>Calidad del Agua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Paicol'!F14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Paicol'!A14</f>
        <v>IN09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31.5" customHeight="1" thickBot="1" x14ac:dyDescent="0.3">
      <c r="A9" s="206" t="str">
        <f>'SET SP Paicol'!$C14</f>
        <v>Monitorear la calidad de agua suministrada a los usuarios por parte de Aguas de Huila.</v>
      </c>
      <c r="B9" s="207"/>
      <c r="C9" s="207"/>
      <c r="D9" s="207"/>
      <c r="E9" s="17" t="s">
        <v>35</v>
      </c>
      <c r="F9" s="290" t="str">
        <f>'SET SP Paicol'!$D14</f>
        <v xml:space="preserve">Medición de acuerdo al IRCA          </v>
      </c>
      <c r="G9" s="292"/>
      <c r="H9" s="14">
        <f>$O16</f>
        <v>0.05</v>
      </c>
      <c r="I9" s="28" t="str">
        <f>'SET SP Paicol'!$E14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41">
        <f t="shared" ref="C15:N15" si="0">$O$15</f>
        <v>0.05</v>
      </c>
      <c r="D15" s="141">
        <f t="shared" si="0"/>
        <v>0.05</v>
      </c>
      <c r="E15" s="141">
        <f t="shared" si="0"/>
        <v>0.05</v>
      </c>
      <c r="F15" s="141">
        <f t="shared" si="0"/>
        <v>0.05</v>
      </c>
      <c r="G15" s="141">
        <f t="shared" si="0"/>
        <v>0.05</v>
      </c>
      <c r="H15" s="141">
        <f t="shared" si="0"/>
        <v>0.05</v>
      </c>
      <c r="I15" s="141">
        <f t="shared" si="0"/>
        <v>0.05</v>
      </c>
      <c r="J15" s="141">
        <f t="shared" si="0"/>
        <v>0.05</v>
      </c>
      <c r="K15" s="141">
        <f t="shared" si="0"/>
        <v>0.05</v>
      </c>
      <c r="L15" s="141">
        <f t="shared" si="0"/>
        <v>0.05</v>
      </c>
      <c r="M15" s="141">
        <f t="shared" si="0"/>
        <v>0.05</v>
      </c>
      <c r="N15" s="141">
        <f t="shared" si="0"/>
        <v>0.05</v>
      </c>
      <c r="O15" s="140">
        <f>'SET SP Paicol'!J14</f>
        <v>0.05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41">
        <f t="shared" ref="C16:N16" si="1">$O$16</f>
        <v>0.05</v>
      </c>
      <c r="D16" s="141">
        <f t="shared" si="1"/>
        <v>0.05</v>
      </c>
      <c r="E16" s="141">
        <f t="shared" si="1"/>
        <v>0.05</v>
      </c>
      <c r="F16" s="141">
        <f t="shared" si="1"/>
        <v>0.05</v>
      </c>
      <c r="G16" s="141">
        <f t="shared" si="1"/>
        <v>0.05</v>
      </c>
      <c r="H16" s="141">
        <f t="shared" si="1"/>
        <v>0.05</v>
      </c>
      <c r="I16" s="141">
        <f t="shared" si="1"/>
        <v>0.05</v>
      </c>
      <c r="J16" s="141">
        <f t="shared" si="1"/>
        <v>0.05</v>
      </c>
      <c r="K16" s="141">
        <f t="shared" si="1"/>
        <v>0.05</v>
      </c>
      <c r="L16" s="141">
        <f t="shared" si="1"/>
        <v>0.05</v>
      </c>
      <c r="M16" s="141">
        <f t="shared" si="1"/>
        <v>0.05</v>
      </c>
      <c r="N16" s="141">
        <f t="shared" si="1"/>
        <v>0.05</v>
      </c>
      <c r="O16" s="140">
        <f>'SET SP Paicol'!K14</f>
        <v>0.05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51" t="str">
        <f>IF((C18),C18,"-")</f>
        <v>-</v>
      </c>
      <c r="D17" s="151" t="str">
        <f t="shared" ref="D17:N17" si="2">IF((D18),D18,"-")</f>
        <v>-</v>
      </c>
      <c r="E17" s="151" t="str">
        <f t="shared" si="2"/>
        <v>-</v>
      </c>
      <c r="F17" s="151" t="str">
        <f t="shared" si="2"/>
        <v>-</v>
      </c>
      <c r="G17" s="151" t="str">
        <f t="shared" si="2"/>
        <v>-</v>
      </c>
      <c r="H17" s="12" t="str">
        <f t="shared" si="2"/>
        <v>-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>
        <f>IF(ISNUMBER(O18),O18,"-")</f>
        <v>0</v>
      </c>
      <c r="V17" s="9"/>
      <c r="W17" s="10"/>
      <c r="X17" s="10"/>
    </row>
    <row r="18" spans="1:24" ht="23.25" customHeight="1" x14ac:dyDescent="0.25">
      <c r="A18" s="189" t="s">
        <v>37</v>
      </c>
      <c r="B18" s="40" t="s">
        <v>142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/>
      <c r="I18" s="63"/>
      <c r="J18" s="63"/>
      <c r="K18" s="63"/>
      <c r="L18" s="63"/>
      <c r="M18" s="63"/>
      <c r="N18" s="63"/>
      <c r="O18" s="64">
        <f>AVERAGE(C18:N18)</f>
        <v>0</v>
      </c>
      <c r="V18" s="9"/>
      <c r="W18" s="10"/>
      <c r="X18" s="10"/>
    </row>
    <row r="19" spans="1:24" ht="21" customHeight="1" x14ac:dyDescent="0.25">
      <c r="A19" s="189"/>
      <c r="B19" s="7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7.25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Paicol'!$G14</f>
        <v>Menor al 5%</v>
      </c>
      <c r="E22" s="181"/>
      <c r="F22" s="181"/>
      <c r="G22" s="182"/>
      <c r="H22" s="180" t="str">
        <f>'SET SP Paicol'!$H14</f>
        <v>Entre el 5% y el 8%</v>
      </c>
      <c r="I22" s="181"/>
      <c r="J22" s="181"/>
      <c r="K22" s="182"/>
      <c r="L22" s="180" t="str">
        <f>'SET SP Paicol'!$I14</f>
        <v>Mayor al 8%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283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283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283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283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283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 t="s">
        <v>3</v>
      </c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5.2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44">
        <v>0.05</v>
      </c>
    </row>
    <row r="59" spans="17:17" x14ac:dyDescent="0.25">
      <c r="Q59" s="44">
        <v>4.9000000000000002E-2</v>
      </c>
    </row>
  </sheetData>
  <mergeCells count="74"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  <mergeCell ref="A31:M31"/>
    <mergeCell ref="N31:O31"/>
    <mergeCell ref="A32:M32"/>
    <mergeCell ref="N32:O32"/>
    <mergeCell ref="A33:M33"/>
    <mergeCell ref="N33:O33"/>
    <mergeCell ref="A28:M28"/>
    <mergeCell ref="N28:O28"/>
    <mergeCell ref="A29:M29"/>
    <mergeCell ref="N29:O29"/>
    <mergeCell ref="A30:M30"/>
    <mergeCell ref="N30:O30"/>
    <mergeCell ref="D1:O1"/>
    <mergeCell ref="D2:O2"/>
    <mergeCell ref="A3:E3"/>
    <mergeCell ref="F3:O3"/>
    <mergeCell ref="A4:E4"/>
    <mergeCell ref="F4:O4"/>
    <mergeCell ref="A1:C2"/>
    <mergeCell ref="I7:I8"/>
    <mergeCell ref="J7:K8"/>
    <mergeCell ref="L7:O7"/>
    <mergeCell ref="L8:M8"/>
    <mergeCell ref="H7:H8"/>
    <mergeCell ref="A9:D9"/>
    <mergeCell ref="F9:G9"/>
    <mergeCell ref="L22:O22"/>
    <mergeCell ref="D23:G23"/>
    <mergeCell ref="H23:K23"/>
    <mergeCell ref="A11:O11"/>
    <mergeCell ref="A14:B14"/>
    <mergeCell ref="L23:O23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42:O42"/>
    <mergeCell ref="A25:O25"/>
    <mergeCell ref="H22:K22"/>
    <mergeCell ref="A22:C23"/>
    <mergeCell ref="D22:G22"/>
    <mergeCell ref="A24:O24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3"/>
  <sheetViews>
    <sheetView topLeftCell="A34" zoomScaleSheetLayoutView="72" workbookViewId="0">
      <selection activeCell="A45" sqref="A45:M45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.28515625" style="3" customWidth="1"/>
    <col min="17" max="18" width="7.28515625" style="3" hidden="1" customWidth="1"/>
    <col min="19" max="19" width="7.28515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Paicol'!$B15</f>
        <v>Índice de agua no contabilizada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Paicol'!F15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Paicol'!A15</f>
        <v>IN10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46.5" customHeight="1" thickBot="1" x14ac:dyDescent="0.3">
      <c r="A9" s="206" t="str">
        <f>'SET SP Paicol'!$C15</f>
        <v>Lograr que Aguas del Huila facture la totalidad del agua producida.</v>
      </c>
      <c r="B9" s="207"/>
      <c r="C9" s="207"/>
      <c r="D9" s="207"/>
      <c r="E9" s="17" t="s">
        <v>35</v>
      </c>
      <c r="F9" s="290" t="str">
        <f>'SET SP Paicol'!$D15</f>
        <v xml:space="preserve">(Volumen  producido - Volumen facturado /   Volumen  producido)   x 100          </v>
      </c>
      <c r="G9" s="292"/>
      <c r="H9" s="14">
        <f>$O16</f>
        <v>0.5</v>
      </c>
      <c r="I9" s="37" t="str">
        <f>'SET SP Paicol'!$E15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41">
        <f t="shared" ref="C15:N15" si="0">$O$15</f>
        <v>0.63</v>
      </c>
      <c r="D15" s="141">
        <f t="shared" si="0"/>
        <v>0.63</v>
      </c>
      <c r="E15" s="141">
        <f t="shared" si="0"/>
        <v>0.63</v>
      </c>
      <c r="F15" s="141">
        <f t="shared" si="0"/>
        <v>0.63</v>
      </c>
      <c r="G15" s="141">
        <f t="shared" si="0"/>
        <v>0.63</v>
      </c>
      <c r="H15" s="141">
        <f t="shared" si="0"/>
        <v>0.63</v>
      </c>
      <c r="I15" s="141">
        <f t="shared" si="0"/>
        <v>0.63</v>
      </c>
      <c r="J15" s="141">
        <f t="shared" si="0"/>
        <v>0.63</v>
      </c>
      <c r="K15" s="141">
        <f t="shared" si="0"/>
        <v>0.63</v>
      </c>
      <c r="L15" s="141">
        <f t="shared" si="0"/>
        <v>0.63</v>
      </c>
      <c r="M15" s="141">
        <f t="shared" si="0"/>
        <v>0.63</v>
      </c>
      <c r="N15" s="141">
        <f t="shared" si="0"/>
        <v>0.63</v>
      </c>
      <c r="O15" s="140">
        <f>'SET SP Paicol'!J15</f>
        <v>0.63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41">
        <f t="shared" ref="C16:N16" si="1">$O$16</f>
        <v>0.5</v>
      </c>
      <c r="D16" s="141">
        <f t="shared" si="1"/>
        <v>0.5</v>
      </c>
      <c r="E16" s="141">
        <f t="shared" si="1"/>
        <v>0.5</v>
      </c>
      <c r="F16" s="141">
        <f t="shared" si="1"/>
        <v>0.5</v>
      </c>
      <c r="G16" s="141">
        <f t="shared" si="1"/>
        <v>0.5</v>
      </c>
      <c r="H16" s="141">
        <f t="shared" si="1"/>
        <v>0.5</v>
      </c>
      <c r="I16" s="141">
        <f t="shared" si="1"/>
        <v>0.5</v>
      </c>
      <c r="J16" s="141">
        <f t="shared" si="1"/>
        <v>0.5</v>
      </c>
      <c r="K16" s="141">
        <f t="shared" si="1"/>
        <v>0.5</v>
      </c>
      <c r="L16" s="141">
        <f t="shared" si="1"/>
        <v>0.5</v>
      </c>
      <c r="M16" s="141">
        <f t="shared" si="1"/>
        <v>0.5</v>
      </c>
      <c r="N16" s="141">
        <f t="shared" si="1"/>
        <v>0.5</v>
      </c>
      <c r="O16" s="140">
        <f>'SET SP Paicol'!K15</f>
        <v>0.5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>IF((C19),(C18-C19)/C18,"-")</f>
        <v>0.59827200953374049</v>
      </c>
      <c r="D17" s="12">
        <f t="shared" ref="D17:O17" si="2">IF((D19),(D18-D19)/D18,"-")</f>
        <v>0.64160508963186325</v>
      </c>
      <c r="E17" s="12">
        <f t="shared" si="2"/>
        <v>0.67483102870961742</v>
      </c>
      <c r="F17" s="12">
        <f t="shared" si="2"/>
        <v>0.61486444568521625</v>
      </c>
      <c r="G17" s="12">
        <f t="shared" si="2"/>
        <v>0.66711445459430418</v>
      </c>
      <c r="H17" s="12">
        <f t="shared" si="2"/>
        <v>0.60651621003831169</v>
      </c>
      <c r="I17" s="12">
        <f t="shared" si="2"/>
        <v>0.4925420754566483</v>
      </c>
      <c r="J17" s="12">
        <f t="shared" si="2"/>
        <v>0.36463521076141092</v>
      </c>
      <c r="K17" s="12">
        <f t="shared" si="2"/>
        <v>0.49399289790655393</v>
      </c>
      <c r="L17" s="12">
        <f t="shared" si="2"/>
        <v>0.51444152117305797</v>
      </c>
      <c r="M17" s="12">
        <f t="shared" si="2"/>
        <v>0.22333580507531015</v>
      </c>
      <c r="N17" s="12">
        <f t="shared" si="2"/>
        <v>0.60290875333616989</v>
      </c>
      <c r="O17" s="13">
        <f t="shared" si="2"/>
        <v>0.56764364463826789</v>
      </c>
      <c r="V17" s="9"/>
      <c r="W17" s="10"/>
      <c r="X17" s="10"/>
    </row>
    <row r="18" spans="1:24" ht="17.25" customHeight="1" x14ac:dyDescent="0.25">
      <c r="A18" s="189" t="s">
        <v>37</v>
      </c>
      <c r="B18" s="40" t="s">
        <v>143</v>
      </c>
      <c r="C18" s="23">
        <f>'PAICOL-18'!D$9</f>
        <v>33565</v>
      </c>
      <c r="D18" s="23">
        <f>'PAICOL-18'!E$9</f>
        <v>30179</v>
      </c>
      <c r="E18" s="23">
        <f>'PAICOL-18'!F$9</f>
        <v>32254</v>
      </c>
      <c r="F18" s="23">
        <f>'PAICOL-18'!G$9</f>
        <v>32238</v>
      </c>
      <c r="G18" s="23">
        <f>'PAICOL-18'!H$9</f>
        <v>33498</v>
      </c>
      <c r="H18" s="23">
        <f>'PAICOL-18'!I$9</f>
        <v>31061</v>
      </c>
      <c r="I18" s="23">
        <f>'PAICOL-18'!J$9</f>
        <v>25074</v>
      </c>
      <c r="J18" s="23">
        <f>'PAICOL-18'!K$9</f>
        <v>19477</v>
      </c>
      <c r="K18" s="23">
        <f>'PAICOL-18'!L$9</f>
        <v>23452.240000000002</v>
      </c>
      <c r="L18" s="23">
        <f>'PAICOL-18'!M$9</f>
        <v>22153.871199999998</v>
      </c>
      <c r="M18" s="23">
        <f>'PAICOL-18'!N$9</f>
        <v>14370.431999999999</v>
      </c>
      <c r="N18" s="23">
        <f>'PAICOL-18'!O$9</f>
        <v>25853</v>
      </c>
      <c r="O18" s="24">
        <f>SUM(C18:N18)</f>
        <v>323175.54319999996</v>
      </c>
      <c r="V18" s="9"/>
      <c r="W18" s="10"/>
      <c r="X18" s="10"/>
    </row>
    <row r="19" spans="1:24" ht="17.25" customHeight="1" x14ac:dyDescent="0.25">
      <c r="A19" s="189"/>
      <c r="B19" s="40" t="s">
        <v>144</v>
      </c>
      <c r="C19" s="23">
        <f>'PAICOL-18'!D$10</f>
        <v>13484</v>
      </c>
      <c r="D19" s="23">
        <f>'PAICOL-18'!E$10</f>
        <v>10816</v>
      </c>
      <c r="E19" s="23">
        <f>'PAICOL-18'!F$10</f>
        <v>10488</v>
      </c>
      <c r="F19" s="23">
        <f>'PAICOL-18'!G$10</f>
        <v>12416</v>
      </c>
      <c r="G19" s="23">
        <f>'PAICOL-18'!H$10</f>
        <v>11151</v>
      </c>
      <c r="H19" s="23">
        <f>'PAICOL-18'!I$10</f>
        <v>12222</v>
      </c>
      <c r="I19" s="23">
        <f>'PAICOL-18'!J$10</f>
        <v>12724</v>
      </c>
      <c r="J19" s="23">
        <f>'PAICOL-18'!K$10</f>
        <v>12375</v>
      </c>
      <c r="K19" s="23">
        <f>'PAICOL-18'!L$10</f>
        <v>11867</v>
      </c>
      <c r="L19" s="23">
        <f>'PAICOL-18'!M$10</f>
        <v>10757</v>
      </c>
      <c r="M19" s="23">
        <f>'PAICOL-18'!N$10</f>
        <v>11161</v>
      </c>
      <c r="N19" s="23">
        <f>'PAICOL-18'!O$10</f>
        <v>10266</v>
      </c>
      <c r="O19" s="24">
        <f>SUM(C19:N19)</f>
        <v>139727</v>
      </c>
      <c r="V19" s="9"/>
      <c r="W19" s="10"/>
      <c r="X19" s="10"/>
    </row>
    <row r="20" spans="1:24" ht="12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Paicol'!$G15</f>
        <v>Menor al 30%</v>
      </c>
      <c r="E22" s="181"/>
      <c r="F22" s="181"/>
      <c r="G22" s="182"/>
      <c r="H22" s="180" t="str">
        <f>'SET SP Paicol'!$H15</f>
        <v>Entre el 30% y el 50%</v>
      </c>
      <c r="I22" s="181"/>
      <c r="J22" s="181"/>
      <c r="K22" s="182"/>
      <c r="L22" s="180" t="str">
        <f>'SET SP Paicol'!$I15</f>
        <v>Mayor al 50%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x14ac:dyDescent="0.25">
      <c r="A27" s="202" t="s">
        <v>284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284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284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284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284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285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41">
        <v>43101</v>
      </c>
      <c r="O40" s="242"/>
    </row>
    <row r="41" spans="1:17" ht="15" x14ac:dyDescent="0.25">
      <c r="A41" s="202" t="s">
        <v>286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41">
        <v>43132</v>
      </c>
      <c r="O41" s="242"/>
    </row>
    <row r="42" spans="1:17" ht="15" x14ac:dyDescent="0.25">
      <c r="A42" s="202" t="s">
        <v>287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41">
        <v>43160</v>
      </c>
      <c r="O42" s="242"/>
    </row>
    <row r="43" spans="1:17" ht="15" x14ac:dyDescent="0.25">
      <c r="A43" s="202" t="s">
        <v>285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41">
        <v>43191</v>
      </c>
      <c r="O43" s="242"/>
    </row>
    <row r="44" spans="1:17" ht="15" x14ac:dyDescent="0.25">
      <c r="A44" s="202" t="s">
        <v>286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41">
        <v>43221</v>
      </c>
      <c r="O44" s="242"/>
    </row>
    <row r="45" spans="1:17" ht="15.75" thickBot="1" x14ac:dyDescent="0.3">
      <c r="A45" s="20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41">
        <v>43252</v>
      </c>
      <c r="O45" s="242"/>
    </row>
    <row r="46" spans="1:17" x14ac:dyDescent="0.2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</row>
    <row r="48" spans="1:17" ht="14.25" x14ac:dyDescent="0.2">
      <c r="Q48" s="49" t="s">
        <v>81</v>
      </c>
    </row>
    <row r="49" spans="17:17" ht="14.25" x14ac:dyDescent="0.2">
      <c r="Q49" s="49" t="s">
        <v>82</v>
      </c>
    </row>
    <row r="50" spans="17:17" ht="14.25" x14ac:dyDescent="0.2">
      <c r="Q50" s="49" t="s">
        <v>83</v>
      </c>
    </row>
    <row r="51" spans="17:17" ht="14.25" x14ac:dyDescent="0.2">
      <c r="Q51" s="49" t="s">
        <v>84</v>
      </c>
    </row>
    <row r="52" spans="17:17" ht="14.25" x14ac:dyDescent="0.2">
      <c r="Q52" s="49" t="s">
        <v>85</v>
      </c>
    </row>
    <row r="53" spans="17:17" ht="14.25" x14ac:dyDescent="0.2">
      <c r="Q53" s="49" t="s">
        <v>86</v>
      </c>
    </row>
    <row r="54" spans="17:17" ht="14.25" x14ac:dyDescent="0.2">
      <c r="Q54" s="49" t="s">
        <v>87</v>
      </c>
    </row>
    <row r="55" spans="17:17" ht="14.25" x14ac:dyDescent="0.2">
      <c r="Q55" s="49" t="s">
        <v>88</v>
      </c>
    </row>
    <row r="56" spans="17:17" ht="14.25" x14ac:dyDescent="0.2">
      <c r="Q56" s="49" t="s">
        <v>89</v>
      </c>
    </row>
    <row r="57" spans="17:17" ht="14.25" x14ac:dyDescent="0.2">
      <c r="Q57" s="49" t="s">
        <v>90</v>
      </c>
    </row>
    <row r="58" spans="17:17" ht="14.25" x14ac:dyDescent="0.2">
      <c r="Q58" s="49" t="s">
        <v>91</v>
      </c>
    </row>
    <row r="59" spans="17:17" ht="14.25" x14ac:dyDescent="0.2">
      <c r="Q59" s="49" t="s">
        <v>92</v>
      </c>
    </row>
    <row r="60" spans="17:17" ht="14.25" x14ac:dyDescent="0.2">
      <c r="Q60" s="49" t="s">
        <v>93</v>
      </c>
    </row>
    <row r="62" spans="17:17" x14ac:dyDescent="0.25">
      <c r="Q62" s="44">
        <v>0.3</v>
      </c>
    </row>
    <row r="63" spans="17:17" x14ac:dyDescent="0.25">
      <c r="Q63" s="44">
        <v>0.29899999999999999</v>
      </c>
    </row>
  </sheetData>
  <mergeCells count="82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6:O46"/>
    <mergeCell ref="A39:M39"/>
    <mergeCell ref="N39:O39"/>
    <mergeCell ref="A40:M40"/>
    <mergeCell ref="N40:O40"/>
    <mergeCell ref="A41:M41"/>
    <mergeCell ref="N41:O41"/>
    <mergeCell ref="A42:M42"/>
    <mergeCell ref="N42:O42"/>
    <mergeCell ref="A43:M43"/>
    <mergeCell ref="N43:O43"/>
    <mergeCell ref="A44:M44"/>
    <mergeCell ref="N44:O44"/>
    <mergeCell ref="A45:M45"/>
    <mergeCell ref="N45:O45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count="1">
    <dataValidation type="list" allowBlank="1" showInputMessage="1" showErrorMessage="1" sqref="J9:O9">
      <formula1>$Q$48:$Q$60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zoomScaleSheetLayoutView="72" workbookViewId="0">
      <selection activeCell="A29" sqref="A28:M29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85546875" style="3" customWidth="1"/>
    <col min="17" max="18" width="6.85546875" style="3" hidden="1" customWidth="1"/>
    <col min="19" max="19" width="6.855468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Paicol'!$B16</f>
        <v>Continuidad del servicio (Acueducto)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Paicol'!F16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Paicol'!A16</f>
        <v>IN11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39" customHeight="1" thickBot="1" x14ac:dyDescent="0.3">
      <c r="A9" s="206" t="str">
        <f>'SET SP Paicol'!$C16</f>
        <v>Prestar el servico de acueducto en forma continua las 24 horas.</v>
      </c>
      <c r="B9" s="207"/>
      <c r="C9" s="207"/>
      <c r="D9" s="207"/>
      <c r="E9" s="17" t="s">
        <v>35</v>
      </c>
      <c r="F9" s="290" t="str">
        <f>'SET SP Paicol'!$D16</f>
        <v>(720 - Horas sin servicio mensuales) / 720) * 100</v>
      </c>
      <c r="G9" s="292"/>
      <c r="H9" s="14">
        <f>$O16</f>
        <v>0.99</v>
      </c>
      <c r="I9" s="37" t="str">
        <f>'SET SP Paicol'!$E16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39">
        <f t="shared" ref="C15:N15" si="0">$O$15</f>
        <v>0.98</v>
      </c>
      <c r="D15" s="139">
        <f t="shared" si="0"/>
        <v>0.98</v>
      </c>
      <c r="E15" s="139">
        <f t="shared" si="0"/>
        <v>0.98</v>
      </c>
      <c r="F15" s="139">
        <f t="shared" si="0"/>
        <v>0.98</v>
      </c>
      <c r="G15" s="139">
        <f t="shared" si="0"/>
        <v>0.98</v>
      </c>
      <c r="H15" s="139">
        <f t="shared" si="0"/>
        <v>0.98</v>
      </c>
      <c r="I15" s="139">
        <f t="shared" si="0"/>
        <v>0.98</v>
      </c>
      <c r="J15" s="139">
        <f t="shared" si="0"/>
        <v>0.98</v>
      </c>
      <c r="K15" s="139">
        <f t="shared" si="0"/>
        <v>0.98</v>
      </c>
      <c r="L15" s="139">
        <f t="shared" si="0"/>
        <v>0.98</v>
      </c>
      <c r="M15" s="139">
        <f t="shared" si="0"/>
        <v>0.98</v>
      </c>
      <c r="N15" s="139">
        <f t="shared" si="0"/>
        <v>0.98</v>
      </c>
      <c r="O15" s="145">
        <f>'SET SP Paicol'!J16</f>
        <v>0.98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39">
        <f t="shared" ref="C16:N16" si="1">$O$16</f>
        <v>0.99</v>
      </c>
      <c r="D16" s="139">
        <f t="shared" si="1"/>
        <v>0.99</v>
      </c>
      <c r="E16" s="139">
        <f t="shared" si="1"/>
        <v>0.99</v>
      </c>
      <c r="F16" s="139">
        <f t="shared" si="1"/>
        <v>0.99</v>
      </c>
      <c r="G16" s="139">
        <f t="shared" si="1"/>
        <v>0.99</v>
      </c>
      <c r="H16" s="139">
        <f t="shared" si="1"/>
        <v>0.99</v>
      </c>
      <c r="I16" s="139">
        <f t="shared" si="1"/>
        <v>0.99</v>
      </c>
      <c r="J16" s="139">
        <f t="shared" si="1"/>
        <v>0.99</v>
      </c>
      <c r="K16" s="139">
        <f t="shared" si="1"/>
        <v>0.99</v>
      </c>
      <c r="L16" s="139">
        <f t="shared" si="1"/>
        <v>0.99</v>
      </c>
      <c r="M16" s="139">
        <f t="shared" si="1"/>
        <v>0.99</v>
      </c>
      <c r="N16" s="139">
        <f t="shared" si="1"/>
        <v>0.99</v>
      </c>
      <c r="O16" s="145">
        <f>'SET SP Paicol'!K16</f>
        <v>0.99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>IF(ISNUMBER(C18),(720-C18)/720,"-")</f>
        <v>0.97361111111111109</v>
      </c>
      <c r="D17" s="12">
        <f t="shared" ref="D17:N17" si="2">IF(ISNUMBER(D18),(720-D18)/720,"-")</f>
        <v>0.97083333333333333</v>
      </c>
      <c r="E17" s="12">
        <f t="shared" si="2"/>
        <v>0.97638888888888886</v>
      </c>
      <c r="F17" s="12">
        <f t="shared" si="2"/>
        <v>0.96805555555555556</v>
      </c>
      <c r="G17" s="12">
        <f t="shared" si="2"/>
        <v>0.97083333333333333</v>
      </c>
      <c r="H17" s="12" t="str">
        <f t="shared" si="2"/>
        <v>-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>
        <f>IF(ISNUMBER(O18),(720-O18)/720,"-")</f>
        <v>0.97194444444444439</v>
      </c>
      <c r="V17" s="9"/>
      <c r="W17" s="10"/>
      <c r="X17" s="10"/>
    </row>
    <row r="18" spans="1:24" ht="16.5" customHeight="1" x14ac:dyDescent="0.25">
      <c r="A18" s="189" t="s">
        <v>37</v>
      </c>
      <c r="B18" s="40" t="s">
        <v>169</v>
      </c>
      <c r="C18" s="4">
        <f>+'PAICOL-18'!D39</f>
        <v>19</v>
      </c>
      <c r="D18" s="4">
        <f>+'PAICOL-18'!E39</f>
        <v>21</v>
      </c>
      <c r="E18" s="4">
        <f>+'PAICOL-18'!F39</f>
        <v>17</v>
      </c>
      <c r="F18" s="4">
        <f>+'PAICOL-18'!G39</f>
        <v>23</v>
      </c>
      <c r="G18" s="4">
        <f>+'PAICOL-18'!H39</f>
        <v>21</v>
      </c>
      <c r="H18" s="4" t="str">
        <f>+'PAICOL-18'!I39</f>
        <v>*</v>
      </c>
      <c r="I18" s="4" t="str">
        <f>+'PAICOL-18'!J39</f>
        <v>*</v>
      </c>
      <c r="J18" s="4" t="str">
        <f>+'PAICOL-18'!K39</f>
        <v>*</v>
      </c>
      <c r="K18" s="4" t="str">
        <f>+'PAICOL-18'!L39</f>
        <v>*</v>
      </c>
      <c r="L18" s="4" t="str">
        <f>+'PAICOL-18'!M39</f>
        <v>*</v>
      </c>
      <c r="M18" s="4" t="str">
        <f>+'PAICOL-18'!N39</f>
        <v>*</v>
      </c>
      <c r="N18" s="4" t="str">
        <f>+'PAICOL-18'!O39</f>
        <v>*</v>
      </c>
      <c r="O18" s="62">
        <f>AVERAGE(C18:N18)</f>
        <v>20.2</v>
      </c>
      <c r="V18" s="9"/>
      <c r="W18" s="10"/>
      <c r="X18" s="10"/>
    </row>
    <row r="19" spans="1:24" ht="13.5" customHeight="1" x14ac:dyDescent="0.25">
      <c r="A19" s="189"/>
      <c r="B19" s="78" t="s">
        <v>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4.25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4.25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Paicol'!$G16</f>
        <v>Entre 80% y 100%</v>
      </c>
      <c r="E22" s="181"/>
      <c r="F22" s="181"/>
      <c r="G22" s="182"/>
      <c r="H22" s="180" t="str">
        <f>'SET SP Paicol'!$H16</f>
        <v>Entre 60% y 79%</v>
      </c>
      <c r="I22" s="181"/>
      <c r="J22" s="181"/>
      <c r="K22" s="182"/>
      <c r="L22" s="180" t="str">
        <f>'SET SP Paicol'!$I16</f>
        <v>Menor al 59%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291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292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293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294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292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 t="s">
        <v>3</v>
      </c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5.2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</v>
      </c>
    </row>
    <row r="59" spans="17:17" x14ac:dyDescent="0.25">
      <c r="Q59" s="11">
        <v>0.95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2:O42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10" zoomScaleSheetLayoutView="72" workbookViewId="0">
      <selection activeCell="C18" sqref="C18:G1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42578125" style="3" customWidth="1"/>
    <col min="17" max="18" width="6.42578125" style="3" hidden="1" customWidth="1"/>
    <col min="19" max="20" width="6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Paicol'!$B17</f>
        <v>Continuidad del Servicio (Aseo)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Paicol'!F17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Paicol'!A17</f>
        <v>IN12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48.75" customHeight="1" thickBot="1" x14ac:dyDescent="0.3">
      <c r="A9" s="206" t="str">
        <f>'SET SP Paicol'!$C17</f>
        <v>Recolectar los residuos solidos en los dias y rutas establecidas en el PEGIRS.</v>
      </c>
      <c r="B9" s="207"/>
      <c r="C9" s="207"/>
      <c r="D9" s="207"/>
      <c r="E9" s="17" t="s">
        <v>35</v>
      </c>
      <c r="F9" s="290" t="str">
        <f>'SET SP Paicol'!$D17</f>
        <v>Número de dias de recolección de residuos sólidos por semestre / 144</v>
      </c>
      <c r="G9" s="292"/>
      <c r="H9" s="14">
        <f>$O16</f>
        <v>1</v>
      </c>
      <c r="I9" s="37" t="str">
        <f>'SET SP Paicol'!$E17</f>
        <v>Semestral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39">
        <f t="shared" ref="C15:N15" si="0">$O$15</f>
        <v>1</v>
      </c>
      <c r="D15" s="139">
        <f t="shared" si="0"/>
        <v>1</v>
      </c>
      <c r="E15" s="139">
        <f t="shared" si="0"/>
        <v>1</v>
      </c>
      <c r="F15" s="139">
        <f t="shared" si="0"/>
        <v>1</v>
      </c>
      <c r="G15" s="139">
        <f t="shared" si="0"/>
        <v>1</v>
      </c>
      <c r="H15" s="139">
        <f t="shared" si="0"/>
        <v>1</v>
      </c>
      <c r="I15" s="139">
        <f t="shared" si="0"/>
        <v>1</v>
      </c>
      <c r="J15" s="139">
        <f t="shared" si="0"/>
        <v>1</v>
      </c>
      <c r="K15" s="139">
        <f t="shared" si="0"/>
        <v>1</v>
      </c>
      <c r="L15" s="139">
        <f t="shared" si="0"/>
        <v>1</v>
      </c>
      <c r="M15" s="139">
        <f t="shared" si="0"/>
        <v>1</v>
      </c>
      <c r="N15" s="139">
        <f t="shared" si="0"/>
        <v>1</v>
      </c>
      <c r="O15" s="145">
        <f>'SET SP Paicol'!J17</f>
        <v>1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39">
        <f t="shared" ref="C16:N16" si="1">$O$16</f>
        <v>1</v>
      </c>
      <c r="D16" s="139">
        <f t="shared" si="1"/>
        <v>1</v>
      </c>
      <c r="E16" s="139">
        <f t="shared" si="1"/>
        <v>1</v>
      </c>
      <c r="F16" s="139">
        <f t="shared" si="1"/>
        <v>1</v>
      </c>
      <c r="G16" s="139">
        <f t="shared" si="1"/>
        <v>1</v>
      </c>
      <c r="H16" s="139">
        <f t="shared" si="1"/>
        <v>1</v>
      </c>
      <c r="I16" s="139">
        <f t="shared" si="1"/>
        <v>1</v>
      </c>
      <c r="J16" s="139">
        <f t="shared" si="1"/>
        <v>1</v>
      </c>
      <c r="K16" s="139">
        <f t="shared" si="1"/>
        <v>1</v>
      </c>
      <c r="L16" s="139">
        <f t="shared" si="1"/>
        <v>1</v>
      </c>
      <c r="M16" s="139">
        <f t="shared" si="1"/>
        <v>1</v>
      </c>
      <c r="N16" s="139">
        <f t="shared" si="1"/>
        <v>1</v>
      </c>
      <c r="O16" s="145">
        <f>'SET SP Paicol'!K17</f>
        <v>1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 t="str">
        <f>IF(ISNUMBER(C18),C18/48,"-")</f>
        <v>-</v>
      </c>
      <c r="D17" s="12" t="str">
        <f t="shared" ref="D17:N17" si="2">IF(ISNUMBER(D18),D18/144,"-")</f>
        <v>-</v>
      </c>
      <c r="E17" s="12" t="str">
        <f t="shared" si="2"/>
        <v>-</v>
      </c>
      <c r="F17" s="12" t="str">
        <f t="shared" si="2"/>
        <v>-</v>
      </c>
      <c r="G17" s="12" t="str">
        <f t="shared" si="2"/>
        <v>-</v>
      </c>
      <c r="H17" s="12" t="str">
        <f t="shared" si="2"/>
        <v>-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 t="str">
        <f t="shared" ref="O17" si="3">IF((O18),O18/144,"-")</f>
        <v>-</v>
      </c>
      <c r="V17" s="9"/>
      <c r="W17" s="10"/>
      <c r="X17" s="10"/>
    </row>
    <row r="18" spans="1:24" ht="21.75" customHeight="1" x14ac:dyDescent="0.25">
      <c r="A18" s="189" t="s">
        <v>37</v>
      </c>
      <c r="B18" s="40" t="s">
        <v>145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9">
        <f>SUM(C18:N18)</f>
        <v>0</v>
      </c>
      <c r="V18" s="9"/>
      <c r="W18" s="10"/>
      <c r="X18" s="10"/>
    </row>
    <row r="19" spans="1:24" ht="18" customHeight="1" x14ac:dyDescent="0.25">
      <c r="A19" s="189"/>
      <c r="B19" s="4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3.5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Paicol'!$G17</f>
        <v>Entre 91% y 100%</v>
      </c>
      <c r="E22" s="181"/>
      <c r="F22" s="181"/>
      <c r="G22" s="182"/>
      <c r="H22" s="180" t="str">
        <f>'SET SP Paicol'!$H17</f>
        <v>Entre 71% y 90%</v>
      </c>
      <c r="I22" s="181"/>
      <c r="J22" s="181"/>
      <c r="K22" s="182"/>
      <c r="L22" s="180" t="str">
        <f>'SET SP Paicol'!$I17</f>
        <v>Menor al 70%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290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290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290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290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290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 t="s">
        <v>3</v>
      </c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5.2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0.98</v>
      </c>
    </row>
    <row r="59" spans="17:17" x14ac:dyDescent="0.25">
      <c r="Q59" s="11">
        <v>1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2:O42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disablePrompts="1"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18" zoomScaleSheetLayoutView="72" workbookViewId="0">
      <selection activeCell="A27" sqref="A27:M27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.5703125" style="3" customWidth="1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Paicol'!$B18</f>
        <v>PQR en la prestación del servicio.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Paicol'!F18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Paicol'!A18</f>
        <v>IN13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48" customHeight="1" thickBot="1" x14ac:dyDescent="0.3">
      <c r="A9" s="206" t="str">
        <f>'SET SP Paicol'!$C18</f>
        <v>Medir el grado de satisfación de los suscriptores en la prestación del servicio.</v>
      </c>
      <c r="B9" s="207"/>
      <c r="C9" s="207"/>
      <c r="D9" s="207"/>
      <c r="E9" s="17" t="s">
        <v>35</v>
      </c>
      <c r="F9" s="290" t="str">
        <f>'SET SP Paicol'!$D18</f>
        <v>Número de PQR recibidas / número de suscriptores del servicio*100</v>
      </c>
      <c r="G9" s="292"/>
      <c r="H9" s="14" t="str">
        <f>$O16</f>
        <v>&lt; 1%</v>
      </c>
      <c r="I9" s="37" t="str">
        <f>'SET SP Paicol'!$E18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39" t="str">
        <f t="shared" ref="C15:N15" si="0">$O$15</f>
        <v>&lt; 1%</v>
      </c>
      <c r="D15" s="139" t="str">
        <f t="shared" si="0"/>
        <v>&lt; 1%</v>
      </c>
      <c r="E15" s="139" t="str">
        <f t="shared" si="0"/>
        <v>&lt; 1%</v>
      </c>
      <c r="F15" s="139" t="str">
        <f t="shared" si="0"/>
        <v>&lt; 1%</v>
      </c>
      <c r="G15" s="139" t="str">
        <f t="shared" si="0"/>
        <v>&lt; 1%</v>
      </c>
      <c r="H15" s="139" t="str">
        <f t="shared" si="0"/>
        <v>&lt; 1%</v>
      </c>
      <c r="I15" s="139" t="str">
        <f t="shared" si="0"/>
        <v>&lt; 1%</v>
      </c>
      <c r="J15" s="139" t="str">
        <f t="shared" si="0"/>
        <v>&lt; 1%</v>
      </c>
      <c r="K15" s="139" t="str">
        <f t="shared" si="0"/>
        <v>&lt; 1%</v>
      </c>
      <c r="L15" s="139" t="str">
        <f t="shared" si="0"/>
        <v>&lt; 1%</v>
      </c>
      <c r="M15" s="139" t="str">
        <f t="shared" si="0"/>
        <v>&lt; 1%</v>
      </c>
      <c r="N15" s="139" t="str">
        <f t="shared" si="0"/>
        <v>&lt; 1%</v>
      </c>
      <c r="O15" s="145" t="str">
        <f>'SET SP Paicol'!J18</f>
        <v>&lt; 1%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39" t="str">
        <f t="shared" ref="C16:N16" si="1">$O$16</f>
        <v>&lt; 1%</v>
      </c>
      <c r="D16" s="139" t="str">
        <f t="shared" si="1"/>
        <v>&lt; 1%</v>
      </c>
      <c r="E16" s="139" t="str">
        <f t="shared" si="1"/>
        <v>&lt; 1%</v>
      </c>
      <c r="F16" s="139" t="str">
        <f t="shared" si="1"/>
        <v>&lt; 1%</v>
      </c>
      <c r="G16" s="139" t="str">
        <f t="shared" si="1"/>
        <v>&lt; 1%</v>
      </c>
      <c r="H16" s="139" t="str">
        <f t="shared" si="1"/>
        <v>&lt; 1%</v>
      </c>
      <c r="I16" s="139" t="str">
        <f t="shared" si="1"/>
        <v>&lt; 1%</v>
      </c>
      <c r="J16" s="139" t="str">
        <f t="shared" si="1"/>
        <v>&lt; 1%</v>
      </c>
      <c r="K16" s="139" t="str">
        <f t="shared" si="1"/>
        <v>&lt; 1%</v>
      </c>
      <c r="L16" s="139" t="str">
        <f t="shared" si="1"/>
        <v>&lt; 1%</v>
      </c>
      <c r="M16" s="139" t="str">
        <f t="shared" si="1"/>
        <v>&lt; 1%</v>
      </c>
      <c r="N16" s="139" t="str">
        <f t="shared" si="1"/>
        <v>&lt; 1%</v>
      </c>
      <c r="O16" s="145" t="str">
        <f>'SET SP Paicol'!K18</f>
        <v>&lt; 1%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 t="shared" ref="C17:E17" si="2">IF((C19),C18/C19,"-")</f>
        <v>1.0471204188481676E-3</v>
      </c>
      <c r="D17" s="12">
        <f t="shared" si="2"/>
        <v>4.1797283176593526E-3</v>
      </c>
      <c r="E17" s="12">
        <f t="shared" si="2"/>
        <v>6.2630480167014616E-3</v>
      </c>
      <c r="F17" s="12">
        <f>IF((F19),F18/F19,"-")</f>
        <v>1.0405827263267431E-3</v>
      </c>
      <c r="G17" s="12">
        <f t="shared" ref="G17:O17" si="3">IF((G19),G18/G19,"-")</f>
        <v>3.1152647975077881E-3</v>
      </c>
      <c r="H17" s="12">
        <f t="shared" si="3"/>
        <v>1.037344398340249E-3</v>
      </c>
      <c r="I17" s="12">
        <f t="shared" si="3"/>
        <v>2.0768431983385254E-3</v>
      </c>
      <c r="J17" s="12">
        <f t="shared" si="3"/>
        <v>5.175983436853002E-3</v>
      </c>
      <c r="K17" s="12">
        <f t="shared" si="3"/>
        <v>3.0991735537190084E-3</v>
      </c>
      <c r="L17" s="12">
        <f t="shared" si="3"/>
        <v>2.0661157024793389E-3</v>
      </c>
      <c r="M17" s="12">
        <f t="shared" si="3"/>
        <v>6.1983471074380167E-3</v>
      </c>
      <c r="N17" s="12">
        <f t="shared" si="3"/>
        <v>4.1279669762641896E-3</v>
      </c>
      <c r="O17" s="13">
        <f t="shared" si="3"/>
        <v>3.2871972318339101E-3</v>
      </c>
      <c r="V17" s="9"/>
      <c r="W17" s="10"/>
      <c r="X17" s="10"/>
    </row>
    <row r="18" spans="1:24" ht="15" customHeight="1" x14ac:dyDescent="0.25">
      <c r="A18" s="189" t="s">
        <v>37</v>
      </c>
      <c r="B18" s="40" t="s">
        <v>167</v>
      </c>
      <c r="C18" s="23">
        <f>+'PAICOL-18'!D40</f>
        <v>1</v>
      </c>
      <c r="D18" s="23">
        <f>+'PAICOL-18'!E40</f>
        <v>4</v>
      </c>
      <c r="E18" s="23">
        <f>+'PAICOL-18'!F40</f>
        <v>6</v>
      </c>
      <c r="F18" s="23">
        <f>+'PAICOL-18'!G40</f>
        <v>1</v>
      </c>
      <c r="G18" s="23">
        <f>+'PAICOL-18'!H40</f>
        <v>3</v>
      </c>
      <c r="H18" s="23">
        <f>+'PAICOL-18'!I40</f>
        <v>1</v>
      </c>
      <c r="I18" s="23">
        <f>+'PAICOL-18'!J40</f>
        <v>2</v>
      </c>
      <c r="J18" s="23">
        <f>+'PAICOL-18'!K40</f>
        <v>5</v>
      </c>
      <c r="K18" s="23">
        <f>+'PAICOL-18'!L40</f>
        <v>3</v>
      </c>
      <c r="L18" s="23">
        <f>+'PAICOL-18'!M40</f>
        <v>2</v>
      </c>
      <c r="M18" s="23">
        <f>+'PAICOL-18'!N40</f>
        <v>6</v>
      </c>
      <c r="N18" s="23">
        <f>+'PAICOL-18'!O40</f>
        <v>4</v>
      </c>
      <c r="O18" s="24">
        <f>SUM(C18:N18)</f>
        <v>38</v>
      </c>
      <c r="V18" s="9"/>
      <c r="W18" s="10"/>
      <c r="X18" s="10"/>
    </row>
    <row r="19" spans="1:24" ht="12.75" customHeight="1" x14ac:dyDescent="0.25">
      <c r="A19" s="189"/>
      <c r="B19" s="40" t="s">
        <v>168</v>
      </c>
      <c r="C19" s="23">
        <f>+'08'!C19</f>
        <v>955</v>
      </c>
      <c r="D19" s="23">
        <f>+'08'!D19</f>
        <v>957</v>
      </c>
      <c r="E19" s="23">
        <f>+'08'!E19</f>
        <v>958</v>
      </c>
      <c r="F19" s="23">
        <f>+'08'!F19</f>
        <v>961</v>
      </c>
      <c r="G19" s="23">
        <f>+'08'!G19</f>
        <v>963</v>
      </c>
      <c r="H19" s="23">
        <f>+'08'!H19</f>
        <v>964</v>
      </c>
      <c r="I19" s="23">
        <f>+'08'!I19</f>
        <v>963</v>
      </c>
      <c r="J19" s="23">
        <f>+'08'!J19</f>
        <v>966</v>
      </c>
      <c r="K19" s="23">
        <f>+'08'!K19</f>
        <v>968</v>
      </c>
      <c r="L19" s="23">
        <f>+'08'!L19</f>
        <v>968</v>
      </c>
      <c r="M19" s="23">
        <f>+'08'!M19</f>
        <v>968</v>
      </c>
      <c r="N19" s="23">
        <f>+'08'!N19</f>
        <v>969</v>
      </c>
      <c r="O19" s="24">
        <f>SUM(C19:N19)</f>
        <v>11560</v>
      </c>
      <c r="V19" s="9"/>
      <c r="W19" s="10"/>
      <c r="X19" s="10"/>
    </row>
    <row r="20" spans="1:24" ht="12.75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Paicol'!$G18</f>
        <v>Entre 0 y 10%</v>
      </c>
      <c r="E22" s="181"/>
      <c r="F22" s="181"/>
      <c r="G22" s="182"/>
      <c r="H22" s="180" t="str">
        <f>'SET SP Paicol'!$H18</f>
        <v>Entre 11% y el 20%</v>
      </c>
      <c r="I22" s="181"/>
      <c r="J22" s="181"/>
      <c r="K22" s="182"/>
      <c r="L22" s="180" t="str">
        <f>'SET SP Paicol'!$I18</f>
        <v>Mayor al 21%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288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288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288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288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288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 t="s">
        <v>3</v>
      </c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5.2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61" t="s">
        <v>175</v>
      </c>
    </row>
    <row r="59" spans="17:17" x14ac:dyDescent="0.25">
      <c r="Q59" s="61" t="s">
        <v>174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2:O42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disablePrompts="1"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0"/>
  <sheetViews>
    <sheetView zoomScaleSheetLayoutView="72" workbookViewId="0">
      <selection activeCell="A30" sqref="A30:M30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28515625" style="3" customWidth="1"/>
    <col min="17" max="18" width="6.28515625" style="3" hidden="1" customWidth="1"/>
    <col min="19" max="19" width="6.28515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Paicol'!$B19</f>
        <v>Disposición en Relleno Sanitario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Paicol'!F19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Paicol'!A19</f>
        <v>IN14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57.75" customHeight="1" thickBot="1" x14ac:dyDescent="0.3">
      <c r="A9" s="206" t="str">
        <f>'SET SP Paicol'!$C19</f>
        <v>Disponer la totalidad de los residuos solidos recolectados en el sitio de disposición final.</v>
      </c>
      <c r="B9" s="207"/>
      <c r="C9" s="207"/>
      <c r="D9" s="207"/>
      <c r="E9" s="17" t="s">
        <v>35</v>
      </c>
      <c r="F9" s="290" t="str">
        <f>'SET SP Paicol'!$D19</f>
        <v>(Residuos sólidos en relleno sanitario / Residuos sólidos producidos)     x 100    %</v>
      </c>
      <c r="G9" s="292"/>
      <c r="H9" s="14">
        <f>$O16</f>
        <v>1</v>
      </c>
      <c r="I9" s="37" t="str">
        <f>'SET SP Paicol'!$E19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39">
        <f t="shared" ref="C15:N15" si="0">$O$15</f>
        <v>0.98</v>
      </c>
      <c r="D15" s="139">
        <f t="shared" si="0"/>
        <v>0.98</v>
      </c>
      <c r="E15" s="139">
        <f t="shared" si="0"/>
        <v>0.98</v>
      </c>
      <c r="F15" s="139">
        <f t="shared" si="0"/>
        <v>0.98</v>
      </c>
      <c r="G15" s="139">
        <f t="shared" si="0"/>
        <v>0.98</v>
      </c>
      <c r="H15" s="139">
        <f t="shared" si="0"/>
        <v>0.98</v>
      </c>
      <c r="I15" s="139">
        <f t="shared" si="0"/>
        <v>0.98</v>
      </c>
      <c r="J15" s="139">
        <f t="shared" si="0"/>
        <v>0.98</v>
      </c>
      <c r="K15" s="139">
        <f t="shared" si="0"/>
        <v>0.98</v>
      </c>
      <c r="L15" s="139">
        <f t="shared" si="0"/>
        <v>0.98</v>
      </c>
      <c r="M15" s="139">
        <f t="shared" si="0"/>
        <v>0.98</v>
      </c>
      <c r="N15" s="139">
        <f t="shared" si="0"/>
        <v>0.98</v>
      </c>
      <c r="O15" s="145">
        <f>'SET SP Paicol'!J19</f>
        <v>0.98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39">
        <f t="shared" ref="C16:N16" si="1">$O$16</f>
        <v>1</v>
      </c>
      <c r="D16" s="139">
        <f t="shared" si="1"/>
        <v>1</v>
      </c>
      <c r="E16" s="139">
        <f t="shared" si="1"/>
        <v>1</v>
      </c>
      <c r="F16" s="139">
        <f t="shared" si="1"/>
        <v>1</v>
      </c>
      <c r="G16" s="139">
        <f t="shared" si="1"/>
        <v>1</v>
      </c>
      <c r="H16" s="139">
        <f t="shared" si="1"/>
        <v>1</v>
      </c>
      <c r="I16" s="139">
        <f t="shared" si="1"/>
        <v>1</v>
      </c>
      <c r="J16" s="139">
        <f t="shared" si="1"/>
        <v>1</v>
      </c>
      <c r="K16" s="139">
        <f t="shared" si="1"/>
        <v>1</v>
      </c>
      <c r="L16" s="139">
        <f t="shared" si="1"/>
        <v>1</v>
      </c>
      <c r="M16" s="139">
        <f t="shared" si="1"/>
        <v>1</v>
      </c>
      <c r="N16" s="139">
        <f t="shared" si="1"/>
        <v>1</v>
      </c>
      <c r="O16" s="145">
        <f>'SET SP Paicol'!K19</f>
        <v>1</v>
      </c>
      <c r="V16" s="9"/>
      <c r="W16" s="10"/>
      <c r="X16" s="10"/>
    </row>
    <row r="17" spans="1:24" ht="17.25" customHeight="1" x14ac:dyDescent="0.2">
      <c r="A17" s="187" t="s">
        <v>265</v>
      </c>
      <c r="B17" s="188"/>
      <c r="C17" s="72">
        <f>IF(ISNUMBER(C19),C18/C19,"-")</f>
        <v>0.98018769551616269</v>
      </c>
      <c r="D17" s="72">
        <f t="shared" ref="D17:O17" si="2">IF(ISNUMBER(D19),D18/D19,"-")</f>
        <v>0.98022892819979179</v>
      </c>
      <c r="E17" s="72">
        <f t="shared" si="2"/>
        <v>0.98024948024948022</v>
      </c>
      <c r="F17" s="72">
        <f t="shared" si="2"/>
        <v>0.98031088082901552</v>
      </c>
      <c r="G17" s="72">
        <f t="shared" si="2"/>
        <v>0.97731958762886595</v>
      </c>
      <c r="H17" s="72">
        <f t="shared" si="2"/>
        <v>0.97734294541709577</v>
      </c>
      <c r="I17" s="72">
        <f t="shared" si="2"/>
        <v>0.97731958762886595</v>
      </c>
      <c r="J17" s="72">
        <f t="shared" si="2"/>
        <v>0.97738951695786225</v>
      </c>
      <c r="K17" s="72">
        <f t="shared" si="2"/>
        <v>0.97743589743589743</v>
      </c>
      <c r="L17" s="72">
        <f t="shared" si="2"/>
        <v>0.97743589743589743</v>
      </c>
      <c r="M17" s="72">
        <f t="shared" si="2"/>
        <v>0.97743589743589743</v>
      </c>
      <c r="N17" s="72">
        <f t="shared" si="2"/>
        <v>0.97745901639344246</v>
      </c>
      <c r="O17" s="74">
        <f t="shared" si="2"/>
        <v>0.97832071921939479</v>
      </c>
      <c r="V17" s="9"/>
      <c r="W17" s="10"/>
      <c r="X17" s="10"/>
    </row>
    <row r="18" spans="1:24" ht="15" customHeight="1" x14ac:dyDescent="0.25">
      <c r="A18" s="189" t="s">
        <v>37</v>
      </c>
      <c r="B18" s="40" t="s">
        <v>146</v>
      </c>
      <c r="C18" s="77">
        <f>+'07'!C18</f>
        <v>56.66</v>
      </c>
      <c r="D18" s="77">
        <f>+'07'!D18</f>
        <v>49.29</v>
      </c>
      <c r="E18" s="77">
        <f>+'07'!E18</f>
        <v>55.39</v>
      </c>
      <c r="F18" s="77">
        <f>+'07'!F18</f>
        <v>49.89</v>
      </c>
      <c r="G18" s="77">
        <f>+'07'!G18</f>
        <v>63.57</v>
      </c>
      <c r="H18" s="77">
        <f>+'07'!H18</f>
        <v>48.07</v>
      </c>
      <c r="I18" s="77">
        <f>+'07'!I18</f>
        <v>56.49</v>
      </c>
      <c r="J18" s="77">
        <f>+'07'!J18</f>
        <v>55.4</v>
      </c>
      <c r="K18" s="77">
        <f>+'07'!K18</f>
        <v>55.17</v>
      </c>
      <c r="L18" s="77">
        <f>+'07'!L18</f>
        <v>53.34</v>
      </c>
      <c r="M18" s="77">
        <f>+'07'!M18</f>
        <v>56.35</v>
      </c>
      <c r="N18" s="77">
        <f>+'07'!N18</f>
        <v>46.56</v>
      </c>
      <c r="O18" s="76">
        <f>SUM(C18:N18)</f>
        <v>646.18000000000006</v>
      </c>
      <c r="V18" s="9"/>
      <c r="W18" s="10"/>
      <c r="X18" s="10"/>
    </row>
    <row r="19" spans="1:24" ht="12.75" customHeight="1" x14ac:dyDescent="0.25">
      <c r="A19" s="189"/>
      <c r="B19" s="40" t="s">
        <v>140</v>
      </c>
      <c r="C19" s="77">
        <f>+'07'!C19</f>
        <v>57.805255319148934</v>
      </c>
      <c r="D19" s="77">
        <f>+'07'!D19</f>
        <v>50.284171974522295</v>
      </c>
      <c r="E19" s="77">
        <f>+'07'!E19</f>
        <v>56.506023329798516</v>
      </c>
      <c r="F19" s="77">
        <f>+'07'!F19</f>
        <v>50.892019027484146</v>
      </c>
      <c r="G19" s="77">
        <f>+'07'!G19</f>
        <v>65.045253164556968</v>
      </c>
      <c r="H19" s="77">
        <f>+'07'!H19</f>
        <v>49.184373024236038</v>
      </c>
      <c r="I19" s="77">
        <f>+'07'!I19</f>
        <v>57.800949367088613</v>
      </c>
      <c r="J19" s="77">
        <f>+'07'!J19</f>
        <v>56.681598317560464</v>
      </c>
      <c r="K19" s="77">
        <f>+'07'!K19</f>
        <v>56.443599160545645</v>
      </c>
      <c r="L19" s="77">
        <f>+'07'!L19</f>
        <v>54.571353620146908</v>
      </c>
      <c r="M19" s="77">
        <f>+'07'!M19</f>
        <v>57.650839454354674</v>
      </c>
      <c r="N19" s="77">
        <f>+'07'!N19</f>
        <v>47.633710691823907</v>
      </c>
      <c r="O19" s="76">
        <f>SUM(C19:N19)</f>
        <v>660.49914645126717</v>
      </c>
      <c r="V19" s="9"/>
      <c r="W19" s="10"/>
      <c r="X19" s="10"/>
    </row>
    <row r="20" spans="1:24" ht="12.75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Paicol'!$G19</f>
        <v>Entre 91% y 100%</v>
      </c>
      <c r="E22" s="181"/>
      <c r="F22" s="181"/>
      <c r="G22" s="182"/>
      <c r="H22" s="180" t="str">
        <f>'SET SP Paicol'!$H19</f>
        <v>Entre 71% y 90%</v>
      </c>
      <c r="I22" s="181"/>
      <c r="J22" s="181"/>
      <c r="K22" s="182"/>
      <c r="L22" s="180" t="str">
        <f>'SET SP Paicol'!$I19</f>
        <v>Menor al 70%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8.75" customHeight="1" x14ac:dyDescent="0.25">
      <c r="A27" s="202" t="s">
        <v>289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9.5" customHeight="1" x14ac:dyDescent="0.25">
      <c r="A28" s="202" t="s">
        <v>289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20.25" customHeight="1" x14ac:dyDescent="0.25">
      <c r="A29" s="202" t="s">
        <v>289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20.25" customHeight="1" x14ac:dyDescent="0.25">
      <c r="A30" s="202" t="s">
        <v>289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9.5" customHeight="1" x14ac:dyDescent="0.25">
      <c r="A31" s="202" t="s">
        <v>289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21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9.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/>
      <c r="O40" s="205"/>
    </row>
    <row r="41" spans="1:17" ht="15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4"/>
      <c r="O41" s="205"/>
    </row>
    <row r="42" spans="1:17" ht="15.75" thickBot="1" x14ac:dyDescent="0.3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4"/>
      <c r="O42" s="205"/>
    </row>
    <row r="43" spans="1:17" ht="5.25" customHeight="1" x14ac:dyDescent="0.2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</row>
    <row r="45" spans="1:17" ht="14.25" x14ac:dyDescent="0.2">
      <c r="Q45" s="49" t="s">
        <v>81</v>
      </c>
    </row>
    <row r="46" spans="1:17" ht="14.25" x14ac:dyDescent="0.2">
      <c r="Q46" s="49" t="s">
        <v>82</v>
      </c>
    </row>
    <row r="47" spans="1:17" ht="14.25" x14ac:dyDescent="0.2">
      <c r="Q47" s="49" t="s">
        <v>83</v>
      </c>
    </row>
    <row r="48" spans="1:17" ht="14.25" x14ac:dyDescent="0.2">
      <c r="Q48" s="49" t="s">
        <v>84</v>
      </c>
    </row>
    <row r="49" spans="17:17" ht="14.25" x14ac:dyDescent="0.2">
      <c r="Q49" s="49" t="s">
        <v>85</v>
      </c>
    </row>
    <row r="50" spans="17:17" ht="14.25" x14ac:dyDescent="0.2">
      <c r="Q50" s="49" t="s">
        <v>86</v>
      </c>
    </row>
    <row r="51" spans="17:17" ht="14.25" x14ac:dyDescent="0.2">
      <c r="Q51" s="49" t="s">
        <v>87</v>
      </c>
    </row>
    <row r="52" spans="17:17" ht="14.25" x14ac:dyDescent="0.2">
      <c r="Q52" s="49" t="s">
        <v>88</v>
      </c>
    </row>
    <row r="53" spans="17:17" ht="14.25" x14ac:dyDescent="0.2">
      <c r="Q53" s="49" t="s">
        <v>89</v>
      </c>
    </row>
    <row r="54" spans="17:17" ht="14.25" x14ac:dyDescent="0.2">
      <c r="Q54" s="49" t="s">
        <v>90</v>
      </c>
    </row>
    <row r="55" spans="17:17" ht="14.25" x14ac:dyDescent="0.2">
      <c r="Q55" s="49" t="s">
        <v>91</v>
      </c>
    </row>
    <row r="56" spans="17:17" ht="14.25" x14ac:dyDescent="0.2">
      <c r="Q56" s="49" t="s">
        <v>92</v>
      </c>
    </row>
    <row r="57" spans="17:17" ht="14.25" x14ac:dyDescent="0.2">
      <c r="Q57" s="49" t="s">
        <v>93</v>
      </c>
    </row>
    <row r="59" spans="17:17" x14ac:dyDescent="0.25">
      <c r="Q59" s="11">
        <v>0.98</v>
      </c>
    </row>
    <row r="60" spans="17:17" x14ac:dyDescent="0.25">
      <c r="Q60" s="11">
        <v>1</v>
      </c>
    </row>
  </sheetData>
  <mergeCells count="76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3:O43"/>
    <mergeCell ref="A39:M39"/>
    <mergeCell ref="N39:O39"/>
    <mergeCell ref="A40:M40"/>
    <mergeCell ref="N40:O40"/>
    <mergeCell ref="A41:M41"/>
    <mergeCell ref="N41:O41"/>
    <mergeCell ref="A42:M42"/>
    <mergeCell ref="N42:O42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count="1">
    <dataValidation type="list" allowBlank="1" showInputMessage="1" showErrorMessage="1" sqref="J9:O9">
      <formula1>$Q$45:$Q$57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1"/>
  <sheetViews>
    <sheetView showGridLines="0" tabSelected="1" topLeftCell="A32" workbookViewId="0">
      <selection activeCell="C40" sqref="C40"/>
    </sheetView>
  </sheetViews>
  <sheetFormatPr baseColWidth="10" defaultRowHeight="12.75" x14ac:dyDescent="0.2"/>
  <cols>
    <col min="1" max="1" width="3" style="82" bestFit="1" customWidth="1"/>
    <col min="2" max="2" width="37.28515625" style="82" customWidth="1"/>
    <col min="3" max="3" width="11.42578125" style="82" customWidth="1"/>
    <col min="4" max="15" width="11.28515625" style="86" customWidth="1"/>
    <col min="16" max="16384" width="11.42578125" style="65"/>
  </cols>
  <sheetData>
    <row r="1" spans="1:16" x14ac:dyDescent="0.2">
      <c r="A1" s="294" t="s">
        <v>182</v>
      </c>
      <c r="B1" s="294"/>
      <c r="C1" s="294"/>
      <c r="D1" s="294"/>
      <c r="E1" s="294"/>
      <c r="F1" s="294"/>
      <c r="G1" s="294"/>
    </row>
    <row r="2" spans="1:16" ht="20.25" x14ac:dyDescent="0.3">
      <c r="A2" s="295" t="s">
        <v>183</v>
      </c>
      <c r="B2" s="296"/>
      <c r="C2" s="81"/>
      <c r="D2" s="83"/>
      <c r="E2" s="294" t="s">
        <v>253</v>
      </c>
      <c r="F2" s="300"/>
      <c r="G2" s="301" t="s">
        <v>252</v>
      </c>
      <c r="H2" s="301"/>
      <c r="I2" s="301"/>
      <c r="J2" s="301"/>
      <c r="K2" s="301"/>
    </row>
    <row r="4" spans="1:16" ht="21" customHeight="1" x14ac:dyDescent="0.2">
      <c r="A4" s="297" t="s">
        <v>184</v>
      </c>
      <c r="B4" s="298"/>
      <c r="C4" s="84" t="s">
        <v>185</v>
      </c>
      <c r="D4" s="85">
        <v>43101</v>
      </c>
      <c r="E4" s="85">
        <v>43132</v>
      </c>
      <c r="F4" s="85">
        <v>43160</v>
      </c>
      <c r="G4" s="85">
        <v>43191</v>
      </c>
      <c r="H4" s="85">
        <v>43221</v>
      </c>
      <c r="I4" s="85">
        <v>43252</v>
      </c>
      <c r="J4" s="85">
        <v>43282</v>
      </c>
      <c r="K4" s="85">
        <v>43313</v>
      </c>
      <c r="L4" s="85">
        <v>43344</v>
      </c>
      <c r="M4" s="85">
        <v>43374</v>
      </c>
      <c r="N4" s="85">
        <v>43405</v>
      </c>
      <c r="O4" s="85">
        <v>43435</v>
      </c>
    </row>
    <row r="5" spans="1:16" x14ac:dyDescent="0.2">
      <c r="A5" s="88">
        <v>1</v>
      </c>
      <c r="B5" s="89" t="s">
        <v>186</v>
      </c>
      <c r="C5" s="90" t="s">
        <v>186</v>
      </c>
      <c r="D5" s="91">
        <v>959</v>
      </c>
      <c r="E5" s="91">
        <v>961</v>
      </c>
      <c r="F5" s="91">
        <v>962</v>
      </c>
      <c r="G5" s="91">
        <v>965</v>
      </c>
      <c r="H5" s="91">
        <v>970</v>
      </c>
      <c r="I5" s="91">
        <v>971</v>
      </c>
      <c r="J5" s="91">
        <v>970</v>
      </c>
      <c r="K5" s="91">
        <v>973</v>
      </c>
      <c r="L5" s="91">
        <v>975</v>
      </c>
      <c r="M5" s="91">
        <v>975</v>
      </c>
      <c r="N5" s="91">
        <v>975</v>
      </c>
      <c r="O5" s="91">
        <v>976</v>
      </c>
    </row>
    <row r="6" spans="1:16" x14ac:dyDescent="0.2">
      <c r="A6" s="92">
        <v>2</v>
      </c>
      <c r="B6" s="93" t="s">
        <v>187</v>
      </c>
      <c r="C6" s="94" t="s">
        <v>188</v>
      </c>
      <c r="D6" s="95">
        <v>955</v>
      </c>
      <c r="E6" s="95">
        <v>957</v>
      </c>
      <c r="F6" s="95">
        <v>958</v>
      </c>
      <c r="G6" s="95">
        <v>961</v>
      </c>
      <c r="H6" s="95">
        <v>963</v>
      </c>
      <c r="I6" s="95">
        <v>964</v>
      </c>
      <c r="J6" s="95">
        <v>963</v>
      </c>
      <c r="K6" s="95">
        <v>966</v>
      </c>
      <c r="L6" s="95">
        <v>968</v>
      </c>
      <c r="M6" s="95">
        <v>968</v>
      </c>
      <c r="N6" s="95">
        <v>968</v>
      </c>
      <c r="O6" s="95">
        <v>969</v>
      </c>
    </row>
    <row r="7" spans="1:16" x14ac:dyDescent="0.2">
      <c r="A7" s="96">
        <v>3</v>
      </c>
      <c r="B7" s="89" t="s">
        <v>189</v>
      </c>
      <c r="C7" s="90" t="s">
        <v>188</v>
      </c>
      <c r="D7" s="91">
        <v>936</v>
      </c>
      <c r="E7" s="91">
        <v>942</v>
      </c>
      <c r="F7" s="91">
        <v>943</v>
      </c>
      <c r="G7" s="91">
        <v>946</v>
      </c>
      <c r="H7" s="91">
        <v>948</v>
      </c>
      <c r="I7" s="91">
        <v>949</v>
      </c>
      <c r="J7" s="91">
        <v>948</v>
      </c>
      <c r="K7" s="91">
        <v>951</v>
      </c>
      <c r="L7" s="91">
        <v>953</v>
      </c>
      <c r="M7" s="91">
        <v>953</v>
      </c>
      <c r="N7" s="91">
        <v>953</v>
      </c>
      <c r="O7" s="91">
        <v>954</v>
      </c>
    </row>
    <row r="8" spans="1:16" x14ac:dyDescent="0.2">
      <c r="A8" s="92">
        <v>4</v>
      </c>
      <c r="B8" s="93" t="s">
        <v>190</v>
      </c>
      <c r="C8" s="94" t="s">
        <v>188</v>
      </c>
      <c r="D8" s="95">
        <v>940</v>
      </c>
      <c r="E8" s="95">
        <v>942</v>
      </c>
      <c r="F8" s="95">
        <v>943</v>
      </c>
      <c r="G8" s="95">
        <v>946</v>
      </c>
      <c r="H8" s="95">
        <v>948</v>
      </c>
      <c r="I8" s="95">
        <v>949</v>
      </c>
      <c r="J8" s="95">
        <v>948</v>
      </c>
      <c r="K8" s="95">
        <v>951</v>
      </c>
      <c r="L8" s="95">
        <v>953</v>
      </c>
      <c r="M8" s="95">
        <v>953</v>
      </c>
      <c r="N8" s="95">
        <v>953</v>
      </c>
      <c r="O8" s="95">
        <v>954</v>
      </c>
    </row>
    <row r="9" spans="1:16" x14ac:dyDescent="0.2">
      <c r="A9" s="96">
        <v>5</v>
      </c>
      <c r="B9" s="89" t="s">
        <v>191</v>
      </c>
      <c r="C9" s="90" t="s">
        <v>192</v>
      </c>
      <c r="D9" s="150">
        <v>33565</v>
      </c>
      <c r="E9" s="149">
        <v>30179</v>
      </c>
      <c r="F9" s="149">
        <v>32254</v>
      </c>
      <c r="G9" s="148">
        <v>32238</v>
      </c>
      <c r="H9" s="147">
        <v>33498</v>
      </c>
      <c r="I9" s="147">
        <v>31061</v>
      </c>
      <c r="J9" s="147">
        <v>25074</v>
      </c>
      <c r="K9" s="147">
        <v>19477</v>
      </c>
      <c r="L9" s="152">
        <v>23452.240000000002</v>
      </c>
      <c r="M9" s="152">
        <v>22153.871199999998</v>
      </c>
      <c r="N9" s="152">
        <v>14370.431999999999</v>
      </c>
      <c r="O9" s="152">
        <v>25853</v>
      </c>
      <c r="P9" s="153">
        <f>SUM(D9:O9)</f>
        <v>323175.54319999996</v>
      </c>
    </row>
    <row r="10" spans="1:16" x14ac:dyDescent="0.2">
      <c r="A10" s="92">
        <v>6</v>
      </c>
      <c r="B10" s="93" t="s">
        <v>193</v>
      </c>
      <c r="C10" s="94" t="s">
        <v>192</v>
      </c>
      <c r="D10" s="95">
        <v>13484</v>
      </c>
      <c r="E10" s="95">
        <v>10816</v>
      </c>
      <c r="F10" s="95">
        <v>10488</v>
      </c>
      <c r="G10" s="95">
        <v>12416</v>
      </c>
      <c r="H10" s="95">
        <v>11151</v>
      </c>
      <c r="I10" s="95">
        <v>12222</v>
      </c>
      <c r="J10" s="95">
        <v>12724</v>
      </c>
      <c r="K10" s="95">
        <v>12375</v>
      </c>
      <c r="L10" s="95">
        <v>11867</v>
      </c>
      <c r="M10" s="95">
        <v>10757</v>
      </c>
      <c r="N10" s="95">
        <v>11161</v>
      </c>
      <c r="O10" s="95">
        <v>10266</v>
      </c>
      <c r="P10" s="153">
        <f t="shared" ref="P10:P11" si="0">SUM(D10:O10)</f>
        <v>139727</v>
      </c>
    </row>
    <row r="11" spans="1:16" x14ac:dyDescent="0.2">
      <c r="A11" s="96">
        <v>7</v>
      </c>
      <c r="B11" s="89" t="s">
        <v>266</v>
      </c>
      <c r="C11" s="90" t="s">
        <v>194</v>
      </c>
      <c r="D11" s="97">
        <v>13109</v>
      </c>
      <c r="E11" s="91">
        <v>10547</v>
      </c>
      <c r="F11" s="91">
        <v>10245</v>
      </c>
      <c r="G11" s="91">
        <v>12135</v>
      </c>
      <c r="H11" s="97">
        <v>10857</v>
      </c>
      <c r="I11" s="97">
        <v>11907</v>
      </c>
      <c r="J11" s="97">
        <v>12453</v>
      </c>
      <c r="K11" s="97">
        <v>12103</v>
      </c>
      <c r="L11" s="97">
        <v>11625</v>
      </c>
      <c r="M11" s="97">
        <v>10570</v>
      </c>
      <c r="N11" s="97">
        <v>10947</v>
      </c>
      <c r="O11" s="97">
        <v>10052</v>
      </c>
      <c r="P11" s="153">
        <f t="shared" si="0"/>
        <v>136550</v>
      </c>
    </row>
    <row r="12" spans="1:16" hidden="1" x14ac:dyDescent="0.2">
      <c r="A12" s="92">
        <v>8</v>
      </c>
      <c r="B12" s="93" t="s">
        <v>195</v>
      </c>
      <c r="C12" s="94" t="s">
        <v>194</v>
      </c>
      <c r="D12" s="99"/>
      <c r="E12" s="95"/>
      <c r="F12" s="95"/>
      <c r="G12" s="95"/>
      <c r="H12" s="98"/>
      <c r="I12" s="98"/>
      <c r="J12" s="98"/>
      <c r="K12" s="98"/>
      <c r="L12" s="98"/>
      <c r="M12" s="98"/>
      <c r="N12" s="98"/>
      <c r="O12" s="99"/>
    </row>
    <row r="13" spans="1:16" hidden="1" x14ac:dyDescent="0.2">
      <c r="A13" s="96">
        <v>9</v>
      </c>
      <c r="B13" s="89" t="s">
        <v>196</v>
      </c>
      <c r="C13" s="90" t="s">
        <v>194</v>
      </c>
      <c r="D13" s="97"/>
      <c r="E13" s="91"/>
      <c r="F13" s="91"/>
      <c r="G13" s="91"/>
      <c r="H13" s="97"/>
      <c r="I13" s="97"/>
      <c r="J13" s="97"/>
      <c r="K13" s="97"/>
      <c r="L13" s="97"/>
      <c r="M13" s="97"/>
      <c r="N13" s="97"/>
      <c r="O13" s="97"/>
    </row>
    <row r="14" spans="1:16" x14ac:dyDescent="0.2">
      <c r="A14" s="92">
        <v>10</v>
      </c>
      <c r="B14" s="93" t="s">
        <v>197</v>
      </c>
      <c r="C14" s="94" t="s">
        <v>194</v>
      </c>
      <c r="D14" s="95">
        <f>SUM(1484605+4846497+13539-27613-15237+126000+61964-20656-112)</f>
        <v>6468987</v>
      </c>
      <c r="E14" s="95">
        <f>SUM(1490563+3695874+35234+63000+226)</f>
        <v>5284897</v>
      </c>
      <c r="F14" s="95">
        <f>SUM(1540910+3701437+35209+18750+84000+72296+2375)</f>
        <v>5454977</v>
      </c>
      <c r="G14" s="95">
        <f>SUM(1547835+4502471+38452+18750+147000+44260+10328+684)</f>
        <v>6309780</v>
      </c>
      <c r="H14" s="95">
        <f>SUM(1550913+3985242+37826+38000+189000+8852+8852+30984+1977)</f>
        <v>5851646</v>
      </c>
      <c r="I14" s="95">
        <f>SUM(1552452+4424492+35297+57250+31500+8852+1380)</f>
        <v>6111223</v>
      </c>
      <c r="J14" s="95">
        <f>SUM(1548605+4653970+37066+38500+10500+10328+1129)</f>
        <v>6300098</v>
      </c>
      <c r="K14" s="95">
        <f>SUM(1553222+4509932+37847+96250+42000+10328+2307)</f>
        <v>6251886</v>
      </c>
      <c r="L14" s="95">
        <f>SUM(1562583+4224499+53480+154000+168000+8852+30984+2402)</f>
        <v>6204800</v>
      </c>
      <c r="M14" s="95">
        <f>SUM(1562583+3773956+42201+385000+31500+17704+41312+1569)</f>
        <v>5855825</v>
      </c>
      <c r="N14" s="95">
        <f>SUM(1562583+3954569+50071+385000+31500+30984+2295)</f>
        <v>6017002</v>
      </c>
      <c r="O14" s="95">
        <f>SUM(1564122+3583877+56024+404250+21000+17704+51640+1659)</f>
        <v>5700276</v>
      </c>
    </row>
    <row r="15" spans="1:16" x14ac:dyDescent="0.2">
      <c r="A15" s="96">
        <v>11</v>
      </c>
      <c r="B15" s="89" t="s">
        <v>198</v>
      </c>
      <c r="C15" s="90" t="s">
        <v>194</v>
      </c>
      <c r="D15" s="91">
        <f>SUM(1360539+4237399-19737+84000+35408-423)</f>
        <v>5697186</v>
      </c>
      <c r="E15" s="91">
        <f>SUM(1378653+3316195+20442+52500+215)</f>
        <v>4768005</v>
      </c>
      <c r="F15" s="91">
        <f>SUM(1363662+3240302+26573+18750+73500+51640+2018)</f>
        <v>4776445</v>
      </c>
      <c r="G15" s="91">
        <f>SUM(1373048+3964364+31070+18750+147000+44260+10328+614)</f>
        <v>5589434</v>
      </c>
      <c r="H15" s="91">
        <f>SUM(1371122+3511454+31026+38000+189000+8852+20656+1492)</f>
        <v>5171602</v>
      </c>
      <c r="I15" s="91">
        <f>SUM(1391131+3929949+28599+57250+21000+1157)</f>
        <v>5429086</v>
      </c>
      <c r="J15" s="91">
        <f>SUM(9600+1378053+4148342+29913+38500+10500+1019)</f>
        <v>5615927</v>
      </c>
      <c r="K15" s="91">
        <f>SUM(1276867+3609276+29754+57750+31500+2090)</f>
        <v>5007237</v>
      </c>
      <c r="L15" s="91">
        <f>SUM(1384461+3752304+45935+154000+168000+20656+2114)</f>
        <v>5527470</v>
      </c>
      <c r="M15" s="91">
        <f>SUM(1321493+3186121+33200+250250+21000+8852+30984+1172)</f>
        <v>4853072</v>
      </c>
      <c r="N15" s="91">
        <f>SUM(15050+1272538+3285589+41142+327250+31500+20656+1635)</f>
        <v>4995360</v>
      </c>
      <c r="O15" s="91">
        <f>SUM(1357273+3093886+47110+308000+21000+41312+1470)</f>
        <v>4870051</v>
      </c>
    </row>
    <row r="16" spans="1:16" x14ac:dyDescent="0.2">
      <c r="A16" s="92">
        <v>12</v>
      </c>
      <c r="B16" s="93" t="s">
        <v>199</v>
      </c>
      <c r="C16" s="94" t="s">
        <v>194</v>
      </c>
      <c r="D16" s="95">
        <f>SUM(1044369+3428297+84000)</f>
        <v>4556666</v>
      </c>
      <c r="E16" s="95">
        <f>SUM(1050729+2625344+42000)</f>
        <v>3718073</v>
      </c>
      <c r="F16" s="95">
        <f>SUM(1086593+2631050+56000)</f>
        <v>3773643</v>
      </c>
      <c r="G16" s="95">
        <f>SUM(1091526+3198242+98000)</f>
        <v>4387768</v>
      </c>
      <c r="H16" s="95">
        <f>SUM(1093718+2817980+126000)</f>
        <v>4037698</v>
      </c>
      <c r="I16" s="95">
        <f>SUM(1094814+3130555+21000)</f>
        <v>4246369</v>
      </c>
      <c r="J16" s="95">
        <f>SUM(1092073+3313939+7000)</f>
        <v>4413012</v>
      </c>
      <c r="K16" s="95">
        <f>SUM(1095361+3216162+28000)</f>
        <v>4339523</v>
      </c>
      <c r="L16" s="95">
        <f>SUM(1102031+3018669+112000)</f>
        <v>4232700</v>
      </c>
      <c r="M16" s="95">
        <f>SUM(1102031+2704211+21000)</f>
        <v>3827242</v>
      </c>
      <c r="N16" s="95">
        <f>SUM(1102031+2828896+21000)</f>
        <v>3951927</v>
      </c>
      <c r="O16" s="95">
        <f>SUM(1103127+2554924+14000)</f>
        <v>3672051</v>
      </c>
    </row>
    <row r="17" spans="1:15" x14ac:dyDescent="0.2">
      <c r="A17" s="96">
        <v>13</v>
      </c>
      <c r="B17" s="89" t="s">
        <v>200</v>
      </c>
      <c r="C17" s="90" t="s">
        <v>194</v>
      </c>
      <c r="D17" s="91">
        <f>SUM(959211+3016252+56000)</f>
        <v>4031463</v>
      </c>
      <c r="E17" s="91">
        <f>SUM(975283+2388030+35000)</f>
        <v>3398313</v>
      </c>
      <c r="F17" s="91">
        <f>SUM(962536+2305511+49000)</f>
        <v>3317047</v>
      </c>
      <c r="G17" s="91">
        <f>SUM(972505+2859294+98000)</f>
        <v>3929799</v>
      </c>
      <c r="H17" s="91">
        <f>SUM(967307+2497687+126000)</f>
        <v>3590994</v>
      </c>
      <c r="I17" s="91">
        <f>SUM(982100+2818066+14000)</f>
        <v>3814166</v>
      </c>
      <c r="J17" s="91">
        <f>SUM(973332+2966084+7000)</f>
        <v>3946416</v>
      </c>
      <c r="K17" s="91">
        <f>SUM(903456+2625828+21000)</f>
        <v>3550284</v>
      </c>
      <c r="L17" s="91">
        <f>SUM(976802+2677528+112000)</f>
        <v>3766330</v>
      </c>
      <c r="M17" s="91">
        <f>SUM(934696+2295214+14000)</f>
        <v>3243910</v>
      </c>
      <c r="N17" s="91">
        <f>SUM(899437+2348601+21000)</f>
        <v>3269038</v>
      </c>
      <c r="O17" s="91">
        <f>SUM(959630+2217556+14000)</f>
        <v>3191186</v>
      </c>
    </row>
    <row r="18" spans="1:15" x14ac:dyDescent="0.2">
      <c r="A18" s="92">
        <v>14</v>
      </c>
      <c r="B18" s="93" t="s">
        <v>201</v>
      </c>
      <c r="C18" s="94" t="s">
        <v>194</v>
      </c>
      <c r="D18" s="95">
        <f>5398481-37740</f>
        <v>5360741</v>
      </c>
      <c r="E18" s="95">
        <v>5411030</v>
      </c>
      <c r="F18" s="95">
        <v>5761380</v>
      </c>
      <c r="G18" s="95">
        <v>5788202</v>
      </c>
      <c r="H18" s="95">
        <v>5799406</v>
      </c>
      <c r="I18" s="95">
        <v>5805008</v>
      </c>
      <c r="J18" s="95">
        <v>5789390</v>
      </c>
      <c r="K18" s="95">
        <v>5806196</v>
      </c>
      <c r="L18" s="95">
        <v>5845114</v>
      </c>
      <c r="M18" s="95">
        <v>5845114</v>
      </c>
      <c r="N18" s="95">
        <v>5845821</v>
      </c>
      <c r="O18" s="95">
        <v>5847923</v>
      </c>
    </row>
    <row r="19" spans="1:15" x14ac:dyDescent="0.2">
      <c r="A19" s="96">
        <v>15</v>
      </c>
      <c r="B19" s="89" t="s">
        <v>202</v>
      </c>
      <c r="C19" s="90" t="s">
        <v>194</v>
      </c>
      <c r="D19" s="91">
        <v>4970959</v>
      </c>
      <c r="E19" s="91">
        <v>5019882</v>
      </c>
      <c r="F19" s="91">
        <v>5135558</v>
      </c>
      <c r="G19" s="91">
        <v>5175007</v>
      </c>
      <c r="H19" s="91">
        <v>5165304</v>
      </c>
      <c r="I19" s="91">
        <v>5231148</v>
      </c>
      <c r="J19" s="91">
        <v>5175857</v>
      </c>
      <c r="K19" s="91">
        <v>4842679</v>
      </c>
      <c r="L19" s="91">
        <v>5211350</v>
      </c>
      <c r="M19" s="91">
        <v>4997781</v>
      </c>
      <c r="N19" s="91">
        <v>4811979</v>
      </c>
      <c r="O19" s="91">
        <v>5126613</v>
      </c>
    </row>
    <row r="20" spans="1:15" s="67" customFormat="1" x14ac:dyDescent="0.2">
      <c r="A20" s="92">
        <v>16</v>
      </c>
      <c r="B20" s="93" t="s">
        <v>203</v>
      </c>
      <c r="C20" s="94" t="s">
        <v>194</v>
      </c>
      <c r="D20" s="95">
        <f>SUM(134690+64809+203848+30984-18800+209)</f>
        <v>415740</v>
      </c>
      <c r="E20" s="95">
        <f>SUM(177887+627758+162819+42000+26556+28000+344)</f>
        <v>1065364</v>
      </c>
      <c r="F20" s="95">
        <f>SUM(181488+659381+177611+10500+17704+7000+135)</f>
        <v>1053819</v>
      </c>
      <c r="G20" s="95">
        <f>SUM(250176+530870+177973+10500+8852+20656+7000+420)</f>
        <v>1006447</v>
      </c>
      <c r="H20" s="95">
        <f>SUM(248464+578522+182324+106)</f>
        <v>1009416</v>
      </c>
      <c r="I20" s="95">
        <f>SUM(238928+482501+187766+8852+10328+453)</f>
        <v>928828</v>
      </c>
      <c r="J20" s="95">
        <f>SUM(237897+545879+193515+10500+8852+8852+7000-39250+322)</f>
        <v>973567</v>
      </c>
      <c r="K20" s="95">
        <f>SUM(243410+546663+200668+8852+10328-54750+182)</f>
        <v>955353</v>
      </c>
      <c r="L20" s="95">
        <f>SUM(324080+854089+207188+38500+10500+10328+7000-52650+299)</f>
        <v>1399334</v>
      </c>
      <c r="M20" s="95">
        <f>SUM(283679+592681+214558+8852+10328-36545+299)</f>
        <v>1073852</v>
      </c>
      <c r="N20" s="95">
        <f>SUM(322658+639804+222510+134750+10500+8852+8852+20656+7000-514+442)</f>
        <v>1375510</v>
      </c>
      <c r="O20" s="95">
        <f>SUM(376274+723000+230358+57750+20656-47950+742)</f>
        <v>1360830</v>
      </c>
    </row>
    <row r="21" spans="1:15" x14ac:dyDescent="0.2">
      <c r="A21" s="96">
        <v>17</v>
      </c>
      <c r="B21" s="89" t="s">
        <v>204</v>
      </c>
      <c r="C21" s="100" t="s">
        <v>194</v>
      </c>
      <c r="D21" s="91">
        <f>SUM(49470+46149+31455+10328-18800+159)</f>
        <v>118761</v>
      </c>
      <c r="E21" s="91">
        <f>SUM(107565+345841+42000+8852+258)</f>
        <v>504516</v>
      </c>
      <c r="F21" s="91">
        <f>SUM(109304+591850+8274+10500+8852+97)</f>
        <v>728877</v>
      </c>
      <c r="G21" s="91">
        <f>SUM(176499+490455+3031+10500+8852+20656+400)</f>
        <v>710393</v>
      </c>
      <c r="H21" s="91">
        <f>SUM(182531+549130+1358+87)</f>
        <v>733106</v>
      </c>
      <c r="I21" s="91">
        <f>SUM(172995+461715+949+10328+426)</f>
        <v>646413</v>
      </c>
      <c r="J21" s="91">
        <f>SUM(168117+521448+10500+8852-39250+268)</f>
        <v>669935</v>
      </c>
      <c r="K21" s="91">
        <f>SUM(166065+502034+914+8852+10328-11900+164)</f>
        <v>676457</v>
      </c>
      <c r="L21" s="91">
        <f>SUM(248143+821154+834+38500+10500+10328+272)</f>
        <v>1129731</v>
      </c>
      <c r="M21" s="91">
        <f>SUM(200572+540105+1049-26745+278)</f>
        <v>715259</v>
      </c>
      <c r="N21" s="91">
        <f>SUM(237967+593080+1599+134750+10500+8852+8852+10328-514+394)</f>
        <v>1005808</v>
      </c>
      <c r="O21" s="91">
        <f>SUM(292643+682168+2585+57750+10328+686)</f>
        <v>1046160</v>
      </c>
    </row>
    <row r="22" spans="1:15" s="67" customFormat="1" x14ac:dyDescent="0.2">
      <c r="A22" s="92">
        <v>18</v>
      </c>
      <c r="B22" s="93" t="s">
        <v>205</v>
      </c>
      <c r="C22" s="94" t="s">
        <v>194</v>
      </c>
      <c r="D22" s="95">
        <f>SUM(95918+47112)</f>
        <v>143030</v>
      </c>
      <c r="E22" s="95">
        <f>SUM(123492+425608)</f>
        <v>549100</v>
      </c>
      <c r="F22" s="95">
        <f>SUM(124469+423988)</f>
        <v>548457</v>
      </c>
      <c r="G22" s="95">
        <f>SUM(175996+376230)</f>
        <v>552226</v>
      </c>
      <c r="H22" s="95">
        <f>SUM(170275+360056)</f>
        <v>530331</v>
      </c>
      <c r="I22" s="95">
        <f>SUM(168528+326680)</f>
        <v>495208</v>
      </c>
      <c r="J22" s="95">
        <f>SUM(167254+349752)</f>
        <v>517006</v>
      </c>
      <c r="K22" s="95">
        <f>SUM(170631+377683)</f>
        <v>548314</v>
      </c>
      <c r="L22" s="95">
        <f>SUM(226987+570318)</f>
        <v>797305</v>
      </c>
      <c r="M22" s="95">
        <f>SUM(199316+414887)</f>
        <v>614203</v>
      </c>
      <c r="N22" s="95">
        <f>SUM(225253+446773)</f>
        <v>672026</v>
      </c>
      <c r="O22" s="95">
        <f>SUM(263800+519561)</f>
        <v>783361</v>
      </c>
    </row>
    <row r="23" spans="1:15" x14ac:dyDescent="0.2">
      <c r="A23" s="96">
        <v>19</v>
      </c>
      <c r="B23" s="89" t="s">
        <v>206</v>
      </c>
      <c r="C23" s="90" t="s">
        <v>194</v>
      </c>
      <c r="D23" s="91">
        <f>SUM(55464+33549)</f>
        <v>89013</v>
      </c>
      <c r="E23" s="91">
        <f>SUM(73939+237332+28000)</f>
        <v>339271</v>
      </c>
      <c r="F23" s="91">
        <f>SUM(73060+374899+7000)</f>
        <v>454959</v>
      </c>
      <c r="G23" s="91">
        <f>SUM(124742+355122+7000)</f>
        <v>486864</v>
      </c>
      <c r="H23" s="91">
        <f>SUM(123317+338691)</f>
        <v>462008</v>
      </c>
      <c r="I23" s="91">
        <f>SUM(121570+311571)</f>
        <v>433141</v>
      </c>
      <c r="J23" s="91">
        <f>SUM(117556+331994+7000)</f>
        <v>456550</v>
      </c>
      <c r="K23" s="91">
        <f>SUM(116092+352160)</f>
        <v>468252</v>
      </c>
      <c r="L23" s="91">
        <f>SUM(172357+539461+7000)</f>
        <v>718818</v>
      </c>
      <c r="M23" s="91">
        <f>SUM(140302+376669)</f>
        <v>516971</v>
      </c>
      <c r="N23" s="91">
        <f>SUM(166696+413543+7000)</f>
        <v>587239</v>
      </c>
      <c r="O23" s="91">
        <f>SUM(204238+489880)</f>
        <v>694118</v>
      </c>
    </row>
    <row r="24" spans="1:15" s="67" customFormat="1" x14ac:dyDescent="0.2">
      <c r="A24" s="92">
        <v>20</v>
      </c>
      <c r="B24" s="93" t="s">
        <v>207</v>
      </c>
      <c r="C24" s="94" t="s">
        <v>194</v>
      </c>
      <c r="D24" s="95">
        <f>466716-26830</f>
        <v>439886</v>
      </c>
      <c r="E24" s="95">
        <v>628086</v>
      </c>
      <c r="F24" s="95">
        <v>653774</v>
      </c>
      <c r="G24" s="95">
        <v>889127</v>
      </c>
      <c r="H24" s="95">
        <v>875553</v>
      </c>
      <c r="I24" s="95">
        <v>847064</v>
      </c>
      <c r="J24" s="95">
        <v>851927</v>
      </c>
      <c r="K24" s="95">
        <v>876433</v>
      </c>
      <c r="L24" s="95">
        <v>1130966</v>
      </c>
      <c r="M24" s="95">
        <v>1009114</v>
      </c>
      <c r="N24" s="95">
        <v>1130514</v>
      </c>
      <c r="O24" s="95">
        <v>1345659</v>
      </c>
    </row>
    <row r="25" spans="1:15" x14ac:dyDescent="0.2">
      <c r="A25" s="96">
        <v>21</v>
      </c>
      <c r="B25" s="89" t="s">
        <v>208</v>
      </c>
      <c r="C25" s="90" t="s">
        <v>194</v>
      </c>
      <c r="D25" s="91">
        <f>261948-26830</f>
        <v>235118</v>
      </c>
      <c r="E25" s="91">
        <v>362813</v>
      </c>
      <c r="F25" s="91">
        <v>393064</v>
      </c>
      <c r="G25" s="91">
        <v>626753</v>
      </c>
      <c r="H25" s="91">
        <v>637836</v>
      </c>
      <c r="I25" s="91">
        <v>609346</v>
      </c>
      <c r="J25" s="91">
        <v>600215</v>
      </c>
      <c r="K25" s="91">
        <v>600691</v>
      </c>
      <c r="L25" s="91">
        <v>863851</v>
      </c>
      <c r="M25" s="91">
        <v>720307</v>
      </c>
      <c r="N25" s="91">
        <v>833526</v>
      </c>
      <c r="O25" s="91">
        <v>1043522</v>
      </c>
    </row>
    <row r="26" spans="1:15" s="67" customFormat="1" x14ac:dyDescent="0.2">
      <c r="A26" s="92">
        <v>22</v>
      </c>
      <c r="B26" s="93" t="s">
        <v>209</v>
      </c>
      <c r="C26" s="94" t="s">
        <v>194</v>
      </c>
      <c r="D26" s="101">
        <f t="shared" ref="D26:D31" si="1">+D14+D20</f>
        <v>6884727</v>
      </c>
      <c r="E26" s="101">
        <f t="shared" ref="E26:O31" si="2">+E14+E20</f>
        <v>6350261</v>
      </c>
      <c r="F26" s="101">
        <f t="shared" si="2"/>
        <v>6508796</v>
      </c>
      <c r="G26" s="101">
        <f t="shared" si="2"/>
        <v>7316227</v>
      </c>
      <c r="H26" s="101">
        <f t="shared" si="2"/>
        <v>6861062</v>
      </c>
      <c r="I26" s="101">
        <f t="shared" si="2"/>
        <v>7040051</v>
      </c>
      <c r="J26" s="101">
        <f t="shared" si="2"/>
        <v>7273665</v>
      </c>
      <c r="K26" s="101">
        <f t="shared" si="2"/>
        <v>7207239</v>
      </c>
      <c r="L26" s="101">
        <f t="shared" si="2"/>
        <v>7604134</v>
      </c>
      <c r="M26" s="101">
        <f t="shared" si="2"/>
        <v>6929677</v>
      </c>
      <c r="N26" s="101">
        <f t="shared" si="2"/>
        <v>7392512</v>
      </c>
      <c r="O26" s="101">
        <f t="shared" si="2"/>
        <v>7061106</v>
      </c>
    </row>
    <row r="27" spans="1:15" x14ac:dyDescent="0.2">
      <c r="A27" s="96">
        <v>23</v>
      </c>
      <c r="B27" s="89" t="s">
        <v>210</v>
      </c>
      <c r="C27" s="100" t="s">
        <v>194</v>
      </c>
      <c r="D27" s="101">
        <f t="shared" si="1"/>
        <v>5815947</v>
      </c>
      <c r="E27" s="101">
        <f t="shared" si="2"/>
        <v>5272521</v>
      </c>
      <c r="F27" s="101">
        <f t="shared" si="2"/>
        <v>5505322</v>
      </c>
      <c r="G27" s="101">
        <f t="shared" si="2"/>
        <v>6299827</v>
      </c>
      <c r="H27" s="101">
        <f t="shared" si="2"/>
        <v>5904708</v>
      </c>
      <c r="I27" s="101">
        <f t="shared" si="2"/>
        <v>6075499</v>
      </c>
      <c r="J27" s="101">
        <f t="shared" si="2"/>
        <v>6285862</v>
      </c>
      <c r="K27" s="101">
        <f t="shared" si="2"/>
        <v>5683694</v>
      </c>
      <c r="L27" s="101">
        <f t="shared" si="2"/>
        <v>6657201</v>
      </c>
      <c r="M27" s="101">
        <f t="shared" si="2"/>
        <v>5568331</v>
      </c>
      <c r="N27" s="101">
        <f t="shared" si="2"/>
        <v>6001168</v>
      </c>
      <c r="O27" s="101">
        <f t="shared" si="2"/>
        <v>5916211</v>
      </c>
    </row>
    <row r="28" spans="1:15" s="67" customFormat="1" x14ac:dyDescent="0.2">
      <c r="A28" s="92">
        <v>24</v>
      </c>
      <c r="B28" s="93" t="s">
        <v>211</v>
      </c>
      <c r="C28" s="94" t="s">
        <v>194</v>
      </c>
      <c r="D28" s="101">
        <f t="shared" si="1"/>
        <v>4699696</v>
      </c>
      <c r="E28" s="101">
        <f t="shared" si="2"/>
        <v>4267173</v>
      </c>
      <c r="F28" s="101">
        <f t="shared" si="2"/>
        <v>4322100</v>
      </c>
      <c r="G28" s="101">
        <f t="shared" si="2"/>
        <v>4939994</v>
      </c>
      <c r="H28" s="101">
        <f t="shared" si="2"/>
        <v>4568029</v>
      </c>
      <c r="I28" s="101">
        <f t="shared" si="2"/>
        <v>4741577</v>
      </c>
      <c r="J28" s="101">
        <f t="shared" si="2"/>
        <v>4930018</v>
      </c>
      <c r="K28" s="101">
        <f t="shared" si="2"/>
        <v>4887837</v>
      </c>
      <c r="L28" s="101">
        <f t="shared" si="2"/>
        <v>5030005</v>
      </c>
      <c r="M28" s="101">
        <f t="shared" si="2"/>
        <v>4441445</v>
      </c>
      <c r="N28" s="101">
        <f t="shared" si="2"/>
        <v>4623953</v>
      </c>
      <c r="O28" s="101">
        <f t="shared" si="2"/>
        <v>4455412</v>
      </c>
    </row>
    <row r="29" spans="1:15" x14ac:dyDescent="0.2">
      <c r="A29" s="96">
        <v>25</v>
      </c>
      <c r="B29" s="89" t="s">
        <v>212</v>
      </c>
      <c r="C29" s="90" t="s">
        <v>194</v>
      </c>
      <c r="D29" s="101">
        <f t="shared" si="1"/>
        <v>4120476</v>
      </c>
      <c r="E29" s="101">
        <f t="shared" si="2"/>
        <v>3737584</v>
      </c>
      <c r="F29" s="101">
        <f t="shared" si="2"/>
        <v>3772006</v>
      </c>
      <c r="G29" s="101">
        <f t="shared" si="2"/>
        <v>4416663</v>
      </c>
      <c r="H29" s="101">
        <f t="shared" si="2"/>
        <v>4053002</v>
      </c>
      <c r="I29" s="101">
        <f t="shared" si="2"/>
        <v>4247307</v>
      </c>
      <c r="J29" s="101">
        <f t="shared" si="2"/>
        <v>4402966</v>
      </c>
      <c r="K29" s="101">
        <f t="shared" si="2"/>
        <v>4018536</v>
      </c>
      <c r="L29" s="101">
        <f t="shared" si="2"/>
        <v>4485148</v>
      </c>
      <c r="M29" s="101">
        <f t="shared" si="2"/>
        <v>3760881</v>
      </c>
      <c r="N29" s="101">
        <f t="shared" si="2"/>
        <v>3856277</v>
      </c>
      <c r="O29" s="101">
        <f t="shared" si="2"/>
        <v>3885304</v>
      </c>
    </row>
    <row r="30" spans="1:15" s="67" customFormat="1" x14ac:dyDescent="0.2">
      <c r="A30" s="92">
        <v>26</v>
      </c>
      <c r="B30" s="93" t="s">
        <v>213</v>
      </c>
      <c r="C30" s="94" t="s">
        <v>194</v>
      </c>
      <c r="D30" s="101">
        <f t="shared" si="1"/>
        <v>5800627</v>
      </c>
      <c r="E30" s="101">
        <f t="shared" si="2"/>
        <v>6039116</v>
      </c>
      <c r="F30" s="101">
        <f t="shared" si="2"/>
        <v>6415154</v>
      </c>
      <c r="G30" s="101">
        <f t="shared" si="2"/>
        <v>6677329</v>
      </c>
      <c r="H30" s="101">
        <f t="shared" si="2"/>
        <v>6674959</v>
      </c>
      <c r="I30" s="101">
        <f t="shared" si="2"/>
        <v>6652072</v>
      </c>
      <c r="J30" s="101">
        <f t="shared" si="2"/>
        <v>6641317</v>
      </c>
      <c r="K30" s="101">
        <f t="shared" si="2"/>
        <v>6682629</v>
      </c>
      <c r="L30" s="101">
        <f t="shared" si="2"/>
        <v>6976080</v>
      </c>
      <c r="M30" s="101">
        <f t="shared" si="2"/>
        <v>6854228</v>
      </c>
      <c r="N30" s="101">
        <f t="shared" si="2"/>
        <v>6976335</v>
      </c>
      <c r="O30" s="101">
        <f t="shared" si="2"/>
        <v>7193582</v>
      </c>
    </row>
    <row r="31" spans="1:15" x14ac:dyDescent="0.2">
      <c r="A31" s="96">
        <v>27</v>
      </c>
      <c r="B31" s="89" t="s">
        <v>214</v>
      </c>
      <c r="C31" s="90" t="s">
        <v>194</v>
      </c>
      <c r="D31" s="101">
        <f t="shared" si="1"/>
        <v>5206077</v>
      </c>
      <c r="E31" s="101">
        <f t="shared" si="2"/>
        <v>5382695</v>
      </c>
      <c r="F31" s="101">
        <f t="shared" si="2"/>
        <v>5528622</v>
      </c>
      <c r="G31" s="101">
        <f t="shared" si="2"/>
        <v>5801760</v>
      </c>
      <c r="H31" s="101">
        <f t="shared" si="2"/>
        <v>5803140</v>
      </c>
      <c r="I31" s="101">
        <f t="shared" si="2"/>
        <v>5840494</v>
      </c>
      <c r="J31" s="101">
        <f t="shared" si="2"/>
        <v>5776072</v>
      </c>
      <c r="K31" s="101">
        <f t="shared" si="2"/>
        <v>5443370</v>
      </c>
      <c r="L31" s="101">
        <f t="shared" si="2"/>
        <v>6075201</v>
      </c>
      <c r="M31" s="101">
        <f t="shared" si="2"/>
        <v>5718088</v>
      </c>
      <c r="N31" s="101">
        <f t="shared" si="2"/>
        <v>5645505</v>
      </c>
      <c r="O31" s="101">
        <f t="shared" si="2"/>
        <v>6170135</v>
      </c>
    </row>
    <row r="32" spans="1:15" x14ac:dyDescent="0.2">
      <c r="A32" s="92">
        <v>28</v>
      </c>
      <c r="B32" s="93" t="s">
        <v>215</v>
      </c>
      <c r="C32" s="94" t="s">
        <v>194</v>
      </c>
      <c r="D32" s="101">
        <f t="shared" ref="D32" si="3">+D26+D28+D30</f>
        <v>17385050</v>
      </c>
      <c r="E32" s="101">
        <f t="shared" ref="E32:O33" si="4">+E26+E28+E30</f>
        <v>16656550</v>
      </c>
      <c r="F32" s="101">
        <f t="shared" si="4"/>
        <v>17246050</v>
      </c>
      <c r="G32" s="101">
        <f t="shared" si="4"/>
        <v>18933550</v>
      </c>
      <c r="H32" s="101">
        <f t="shared" si="4"/>
        <v>18104050</v>
      </c>
      <c r="I32" s="101">
        <f t="shared" si="4"/>
        <v>18433700</v>
      </c>
      <c r="J32" s="101">
        <f t="shared" si="4"/>
        <v>18845000</v>
      </c>
      <c r="K32" s="101">
        <f t="shared" si="4"/>
        <v>18777705</v>
      </c>
      <c r="L32" s="101">
        <f t="shared" si="4"/>
        <v>19610219</v>
      </c>
      <c r="M32" s="101">
        <f t="shared" si="4"/>
        <v>18225350</v>
      </c>
      <c r="N32" s="101">
        <f t="shared" si="4"/>
        <v>18992800</v>
      </c>
      <c r="O32" s="101">
        <f t="shared" si="4"/>
        <v>18710100</v>
      </c>
    </row>
    <row r="33" spans="1:16" x14ac:dyDescent="0.2">
      <c r="A33" s="102">
        <v>29</v>
      </c>
      <c r="B33" s="89" t="s">
        <v>216</v>
      </c>
      <c r="C33" s="90" t="s">
        <v>194</v>
      </c>
      <c r="D33" s="101">
        <f t="shared" ref="D33" si="5">+D31+D29+D27</f>
        <v>15142500</v>
      </c>
      <c r="E33" s="101">
        <f t="shared" si="4"/>
        <v>14392800</v>
      </c>
      <c r="F33" s="101">
        <f t="shared" si="4"/>
        <v>14805950</v>
      </c>
      <c r="G33" s="101">
        <f t="shared" si="4"/>
        <v>16518250</v>
      </c>
      <c r="H33" s="101">
        <f t="shared" ref="H33:O33" si="6">+H31+H29+H27</f>
        <v>15760850</v>
      </c>
      <c r="I33" s="101">
        <f t="shared" si="6"/>
        <v>16163300</v>
      </c>
      <c r="J33" s="101">
        <f t="shared" si="6"/>
        <v>16464900</v>
      </c>
      <c r="K33" s="101">
        <f t="shared" si="6"/>
        <v>15145600</v>
      </c>
      <c r="L33" s="101">
        <f t="shared" si="6"/>
        <v>17217550</v>
      </c>
      <c r="M33" s="101">
        <f t="shared" si="6"/>
        <v>15047300</v>
      </c>
      <c r="N33" s="101">
        <f t="shared" si="6"/>
        <v>15502950</v>
      </c>
      <c r="O33" s="101">
        <f t="shared" si="6"/>
        <v>15971650</v>
      </c>
    </row>
    <row r="34" spans="1:16" s="67" customFormat="1" x14ac:dyDescent="0.2">
      <c r="A34" s="103">
        <v>30</v>
      </c>
      <c r="B34" s="93" t="s">
        <v>217</v>
      </c>
      <c r="C34" s="94" t="s">
        <v>218</v>
      </c>
      <c r="D34" s="104"/>
      <c r="E34" s="104"/>
      <c r="F34" s="104"/>
      <c r="G34" s="104"/>
      <c r="H34" s="105"/>
      <c r="I34" s="105"/>
      <c r="J34" s="105"/>
      <c r="K34" s="105"/>
      <c r="L34" s="105"/>
      <c r="M34" s="105"/>
      <c r="N34" s="105"/>
      <c r="O34" s="105"/>
    </row>
    <row r="35" spans="1:16" x14ac:dyDescent="0.2">
      <c r="A35" s="106">
        <v>31</v>
      </c>
      <c r="B35" s="107" t="s">
        <v>219</v>
      </c>
      <c r="C35" s="108" t="s">
        <v>218</v>
      </c>
      <c r="D35" s="104"/>
      <c r="E35" s="109"/>
      <c r="F35" s="109"/>
      <c r="G35" s="109"/>
      <c r="H35" s="110"/>
      <c r="I35" s="110"/>
      <c r="J35" s="110"/>
      <c r="K35" s="110"/>
      <c r="L35" s="110"/>
      <c r="M35" s="110"/>
      <c r="N35" s="110"/>
      <c r="O35" s="110"/>
    </row>
    <row r="36" spans="1:16" s="66" customFormat="1" x14ac:dyDescent="0.2">
      <c r="A36" s="93"/>
      <c r="B36" s="93" t="s">
        <v>220</v>
      </c>
      <c r="C36" s="94"/>
      <c r="D36" s="104">
        <v>56.66</v>
      </c>
      <c r="E36" s="104">
        <v>49.29</v>
      </c>
      <c r="F36" s="104">
        <v>55.39</v>
      </c>
      <c r="G36" s="104">
        <v>49.89</v>
      </c>
      <c r="H36" s="105">
        <v>63.57</v>
      </c>
      <c r="I36" s="105">
        <v>48.07</v>
      </c>
      <c r="J36" s="105">
        <v>56.49</v>
      </c>
      <c r="K36" s="105">
        <v>55.4</v>
      </c>
      <c r="L36" s="105">
        <v>55.17</v>
      </c>
      <c r="M36" s="105">
        <v>53.34</v>
      </c>
      <c r="N36" s="105">
        <v>56.35</v>
      </c>
      <c r="O36" s="105">
        <v>46.56</v>
      </c>
      <c r="P36" s="66">
        <f>SUM(D36:O36)</f>
        <v>646.18000000000006</v>
      </c>
    </row>
    <row r="37" spans="1:16" s="66" customFormat="1" x14ac:dyDescent="0.2">
      <c r="A37" s="111">
        <v>33</v>
      </c>
      <c r="B37" s="112" t="s">
        <v>135</v>
      </c>
      <c r="C37" s="113"/>
      <c r="D37" s="114">
        <f>+D32-D33</f>
        <v>2242550</v>
      </c>
      <c r="E37" s="114">
        <f t="shared" ref="E37:J37" si="7">+E32-E33</f>
        <v>2263750</v>
      </c>
      <c r="F37" s="114">
        <f t="shared" si="7"/>
        <v>2440100</v>
      </c>
      <c r="G37" s="114">
        <f t="shared" si="7"/>
        <v>2415300</v>
      </c>
      <c r="H37" s="114">
        <f t="shared" si="7"/>
        <v>2343200</v>
      </c>
      <c r="I37" s="114">
        <f t="shared" si="7"/>
        <v>2270400</v>
      </c>
      <c r="J37" s="114">
        <f t="shared" si="7"/>
        <v>2380100</v>
      </c>
      <c r="K37" s="115"/>
      <c r="L37" s="115"/>
      <c r="M37" s="115"/>
      <c r="N37" s="115"/>
      <c r="O37" s="115"/>
    </row>
    <row r="38" spans="1:16" s="66" customFormat="1" x14ac:dyDescent="0.2">
      <c r="A38" s="116">
        <v>34</v>
      </c>
      <c r="B38" s="93" t="s">
        <v>141</v>
      </c>
      <c r="C38" s="94"/>
      <c r="D38" s="104">
        <v>934</v>
      </c>
      <c r="E38" s="104">
        <v>937</v>
      </c>
      <c r="F38" s="104">
        <v>935</v>
      </c>
      <c r="G38" s="104">
        <v>927</v>
      </c>
      <c r="H38" s="104">
        <v>931</v>
      </c>
      <c r="I38" s="104">
        <v>934</v>
      </c>
      <c r="J38" s="105">
        <v>931</v>
      </c>
      <c r="K38" s="105">
        <v>935</v>
      </c>
      <c r="L38" s="105">
        <v>939</v>
      </c>
      <c r="M38" s="105">
        <v>951</v>
      </c>
      <c r="N38" s="105">
        <v>939</v>
      </c>
      <c r="O38" s="105">
        <v>942</v>
      </c>
    </row>
    <row r="39" spans="1:16" s="66" customFormat="1" x14ac:dyDescent="0.2">
      <c r="A39" s="117">
        <v>35</v>
      </c>
      <c r="B39" s="118" t="s">
        <v>261</v>
      </c>
      <c r="C39" s="100"/>
      <c r="D39" s="119">
        <v>19</v>
      </c>
      <c r="E39" s="119">
        <v>21</v>
      </c>
      <c r="F39" s="119">
        <v>17</v>
      </c>
      <c r="G39" s="119">
        <v>23</v>
      </c>
      <c r="H39" s="119">
        <v>21</v>
      </c>
      <c r="I39" s="119" t="s">
        <v>264</v>
      </c>
      <c r="J39" s="119" t="s">
        <v>264</v>
      </c>
      <c r="K39" s="119" t="s">
        <v>264</v>
      </c>
      <c r="L39" s="119" t="s">
        <v>264</v>
      </c>
      <c r="M39" s="119" t="s">
        <v>264</v>
      </c>
      <c r="N39" s="119" t="s">
        <v>264</v>
      </c>
      <c r="O39" s="119" t="s">
        <v>264</v>
      </c>
    </row>
    <row r="40" spans="1:16" s="66" customFormat="1" x14ac:dyDescent="0.2">
      <c r="A40" s="116">
        <v>36</v>
      </c>
      <c r="B40" s="93" t="s">
        <v>262</v>
      </c>
      <c r="C40" s="94"/>
      <c r="D40" s="104">
        <v>1</v>
      </c>
      <c r="E40" s="104">
        <v>4</v>
      </c>
      <c r="F40" s="104">
        <v>6</v>
      </c>
      <c r="G40" s="104">
        <v>1</v>
      </c>
      <c r="H40" s="104">
        <v>3</v>
      </c>
      <c r="I40" s="104">
        <v>1</v>
      </c>
      <c r="J40" s="105">
        <v>2</v>
      </c>
      <c r="K40" s="105">
        <v>5</v>
      </c>
      <c r="L40" s="105">
        <v>3</v>
      </c>
      <c r="M40" s="105">
        <v>2</v>
      </c>
      <c r="N40" s="105">
        <v>6</v>
      </c>
      <c r="O40" s="105">
        <v>4</v>
      </c>
    </row>
    <row r="41" spans="1:16" s="66" customFormat="1" x14ac:dyDescent="0.2">
      <c r="A41" s="120"/>
      <c r="B41" s="120"/>
      <c r="C41" s="121"/>
      <c r="D41" s="122"/>
      <c r="E41" s="122"/>
      <c r="F41" s="122"/>
      <c r="G41" s="122"/>
      <c r="H41" s="123"/>
      <c r="I41" s="123"/>
      <c r="J41" s="123"/>
      <c r="K41" s="123"/>
      <c r="L41" s="123"/>
      <c r="M41" s="123"/>
      <c r="N41" s="123"/>
      <c r="O41" s="123"/>
    </row>
    <row r="42" spans="1:16" x14ac:dyDescent="0.2">
      <c r="A42" s="116"/>
      <c r="B42" s="93" t="s">
        <v>32</v>
      </c>
      <c r="C42" s="94"/>
      <c r="D42" s="124">
        <f>+D4</f>
        <v>43101</v>
      </c>
      <c r="E42" s="125">
        <f t="shared" ref="E42:O42" si="8">+E4</f>
        <v>43132</v>
      </c>
      <c r="F42" s="125">
        <f t="shared" si="8"/>
        <v>43160</v>
      </c>
      <c r="G42" s="125">
        <f t="shared" si="8"/>
        <v>43191</v>
      </c>
      <c r="H42" s="125">
        <f t="shared" si="8"/>
        <v>43221</v>
      </c>
      <c r="I42" s="125">
        <f t="shared" si="8"/>
        <v>43252</v>
      </c>
      <c r="J42" s="125">
        <f t="shared" si="8"/>
        <v>43282</v>
      </c>
      <c r="K42" s="125">
        <f t="shared" si="8"/>
        <v>43313</v>
      </c>
      <c r="L42" s="125">
        <f t="shared" si="8"/>
        <v>43344</v>
      </c>
      <c r="M42" s="125">
        <f t="shared" si="8"/>
        <v>43374</v>
      </c>
      <c r="N42" s="125">
        <f t="shared" si="8"/>
        <v>43405</v>
      </c>
      <c r="O42" s="125">
        <f t="shared" si="8"/>
        <v>43435</v>
      </c>
    </row>
    <row r="43" spans="1:16" x14ac:dyDescent="0.2">
      <c r="A43" s="126"/>
      <c r="B43" s="118" t="s">
        <v>221</v>
      </c>
      <c r="C43" s="90"/>
      <c r="D43" s="127">
        <f t="shared" ref="D43:O44" si="9">+D14+D16+D18</f>
        <v>16386394</v>
      </c>
      <c r="E43" s="127">
        <f t="shared" si="9"/>
        <v>14414000</v>
      </c>
      <c r="F43" s="127">
        <f t="shared" si="9"/>
        <v>14990000</v>
      </c>
      <c r="G43" s="127">
        <f t="shared" si="9"/>
        <v>16485750</v>
      </c>
      <c r="H43" s="127">
        <f t="shared" si="9"/>
        <v>15688750</v>
      </c>
      <c r="I43" s="127">
        <f t="shared" si="9"/>
        <v>16162600</v>
      </c>
      <c r="J43" s="127">
        <f t="shared" si="9"/>
        <v>16502500</v>
      </c>
      <c r="K43" s="127">
        <f t="shared" si="9"/>
        <v>16397605</v>
      </c>
      <c r="L43" s="127">
        <f t="shared" si="9"/>
        <v>16282614</v>
      </c>
      <c r="M43" s="127">
        <f t="shared" si="9"/>
        <v>15528181</v>
      </c>
      <c r="N43" s="127">
        <f t="shared" si="9"/>
        <v>15814750</v>
      </c>
      <c r="O43" s="127">
        <f t="shared" si="9"/>
        <v>15220250</v>
      </c>
    </row>
    <row r="44" spans="1:16" x14ac:dyDescent="0.2">
      <c r="A44" s="116"/>
      <c r="B44" s="93" t="s">
        <v>222</v>
      </c>
      <c r="C44" s="94"/>
      <c r="D44" s="127">
        <f t="shared" si="9"/>
        <v>14699608</v>
      </c>
      <c r="E44" s="127">
        <f t="shared" si="9"/>
        <v>13186200</v>
      </c>
      <c r="F44" s="127">
        <f t="shared" si="9"/>
        <v>13229050</v>
      </c>
      <c r="G44" s="127">
        <f t="shared" si="9"/>
        <v>14694240</v>
      </c>
      <c r="H44" s="127">
        <f t="shared" si="9"/>
        <v>13927900</v>
      </c>
      <c r="I44" s="127">
        <f t="shared" si="9"/>
        <v>14474400</v>
      </c>
      <c r="J44" s="127">
        <f t="shared" si="9"/>
        <v>14738200</v>
      </c>
      <c r="K44" s="127">
        <f t="shared" si="9"/>
        <v>13400200</v>
      </c>
      <c r="L44" s="127">
        <f t="shared" si="9"/>
        <v>14505150</v>
      </c>
      <c r="M44" s="127">
        <f t="shared" si="9"/>
        <v>13094763</v>
      </c>
      <c r="N44" s="127">
        <f t="shared" si="9"/>
        <v>13076377</v>
      </c>
      <c r="O44" s="127">
        <f t="shared" si="9"/>
        <v>13187850</v>
      </c>
    </row>
    <row r="45" spans="1:16" x14ac:dyDescent="0.2">
      <c r="A45" s="126"/>
      <c r="B45" s="89" t="s">
        <v>32</v>
      </c>
      <c r="C45" s="90"/>
      <c r="D45" s="125">
        <f>+D42</f>
        <v>43101</v>
      </c>
      <c r="E45" s="125">
        <f t="shared" ref="E45:O45" si="10">+E42</f>
        <v>43132</v>
      </c>
      <c r="F45" s="125">
        <f t="shared" si="10"/>
        <v>43160</v>
      </c>
      <c r="G45" s="125">
        <f t="shared" si="10"/>
        <v>43191</v>
      </c>
      <c r="H45" s="125">
        <f t="shared" si="10"/>
        <v>43221</v>
      </c>
      <c r="I45" s="125">
        <f t="shared" si="10"/>
        <v>43252</v>
      </c>
      <c r="J45" s="125">
        <f t="shared" si="10"/>
        <v>43282</v>
      </c>
      <c r="K45" s="125">
        <f t="shared" si="10"/>
        <v>43313</v>
      </c>
      <c r="L45" s="125">
        <f t="shared" si="10"/>
        <v>43344</v>
      </c>
      <c r="M45" s="125">
        <f t="shared" si="10"/>
        <v>43374</v>
      </c>
      <c r="N45" s="125">
        <f t="shared" si="10"/>
        <v>43405</v>
      </c>
      <c r="O45" s="125">
        <f t="shared" si="10"/>
        <v>43435</v>
      </c>
    </row>
    <row r="46" spans="1:16" x14ac:dyDescent="0.2">
      <c r="A46" s="116"/>
      <c r="B46" s="93" t="s">
        <v>223</v>
      </c>
      <c r="C46" s="94"/>
      <c r="D46" s="127">
        <f t="shared" ref="D46:O47" si="11">+D20+D22+D24</f>
        <v>998656</v>
      </c>
      <c r="E46" s="127">
        <f t="shared" si="11"/>
        <v>2242550</v>
      </c>
      <c r="F46" s="127">
        <f t="shared" si="11"/>
        <v>2256050</v>
      </c>
      <c r="G46" s="127">
        <f t="shared" si="11"/>
        <v>2447800</v>
      </c>
      <c r="H46" s="127">
        <f t="shared" si="11"/>
        <v>2415300</v>
      </c>
      <c r="I46" s="127">
        <f t="shared" si="11"/>
        <v>2271100</v>
      </c>
      <c r="J46" s="127">
        <f t="shared" si="11"/>
        <v>2342500</v>
      </c>
      <c r="K46" s="127">
        <f t="shared" si="11"/>
        <v>2380100</v>
      </c>
      <c r="L46" s="127">
        <f t="shared" si="11"/>
        <v>3327605</v>
      </c>
      <c r="M46" s="127">
        <f t="shared" si="11"/>
        <v>2697169</v>
      </c>
      <c r="N46" s="127">
        <f t="shared" si="11"/>
        <v>3178050</v>
      </c>
      <c r="O46" s="127">
        <f t="shared" si="11"/>
        <v>3489850</v>
      </c>
    </row>
    <row r="47" spans="1:16" x14ac:dyDescent="0.2">
      <c r="A47" s="126"/>
      <c r="B47" s="118" t="s">
        <v>224</v>
      </c>
      <c r="C47" s="90"/>
      <c r="D47" s="127">
        <f t="shared" si="11"/>
        <v>442892</v>
      </c>
      <c r="E47" s="127">
        <f t="shared" si="11"/>
        <v>1206600</v>
      </c>
      <c r="F47" s="127">
        <f t="shared" si="11"/>
        <v>1576900</v>
      </c>
      <c r="G47" s="127">
        <f t="shared" si="11"/>
        <v>1824010</v>
      </c>
      <c r="H47" s="127">
        <f t="shared" si="11"/>
        <v>1832950</v>
      </c>
      <c r="I47" s="127">
        <f t="shared" si="11"/>
        <v>1688900</v>
      </c>
      <c r="J47" s="127">
        <f t="shared" si="11"/>
        <v>1726700</v>
      </c>
      <c r="K47" s="127">
        <f t="shared" si="11"/>
        <v>1745400</v>
      </c>
      <c r="L47" s="127">
        <f t="shared" si="11"/>
        <v>2712400</v>
      </c>
      <c r="M47" s="127">
        <f t="shared" si="11"/>
        <v>1952537</v>
      </c>
      <c r="N47" s="127">
        <f t="shared" si="11"/>
        <v>2426573</v>
      </c>
      <c r="O47" s="127">
        <f t="shared" si="11"/>
        <v>2783800</v>
      </c>
    </row>
    <row r="48" spans="1:16" x14ac:dyDescent="0.2">
      <c r="A48" s="116"/>
      <c r="B48" s="93" t="s">
        <v>225</v>
      </c>
      <c r="C48" s="94"/>
      <c r="D48" s="128">
        <f t="shared" ref="D48:O48" si="12">+D44/D43</f>
        <v>0.89706179407134967</v>
      </c>
      <c r="E48" s="128">
        <f t="shared" si="12"/>
        <v>0.91481892604412374</v>
      </c>
      <c r="F48" s="128">
        <f t="shared" si="12"/>
        <v>0.88252501667778516</v>
      </c>
      <c r="G48" s="128">
        <f t="shared" si="12"/>
        <v>0.8913297848141577</v>
      </c>
      <c r="H48" s="128">
        <f t="shared" si="12"/>
        <v>0.88776352481873955</v>
      </c>
      <c r="I48" s="128">
        <f t="shared" si="12"/>
        <v>0.89554898345563216</v>
      </c>
      <c r="J48" s="128">
        <f t="shared" si="12"/>
        <v>0.89308892592031508</v>
      </c>
      <c r="K48" s="128">
        <f t="shared" si="12"/>
        <v>0.81720470763870701</v>
      </c>
      <c r="L48" s="128">
        <f t="shared" si="12"/>
        <v>0.89083669243771302</v>
      </c>
      <c r="M48" s="128">
        <f t="shared" si="12"/>
        <v>0.84329020894333984</v>
      </c>
      <c r="N48" s="128">
        <f t="shared" si="12"/>
        <v>0.82684689925544186</v>
      </c>
      <c r="O48" s="128">
        <f t="shared" si="12"/>
        <v>0.86646737077249059</v>
      </c>
    </row>
    <row r="49" spans="1:15" x14ac:dyDescent="0.2">
      <c r="A49" s="126"/>
      <c r="B49" s="118" t="s">
        <v>226</v>
      </c>
      <c r="C49" s="90"/>
      <c r="D49" s="128">
        <f t="shared" ref="D49:O49" si="13">+D47/D46</f>
        <v>0.44348804793642654</v>
      </c>
      <c r="E49" s="128">
        <f t="shared" si="13"/>
        <v>0.53804820405342135</v>
      </c>
      <c r="F49" s="128">
        <f t="shared" si="13"/>
        <v>0.69896500520821792</v>
      </c>
      <c r="G49" s="128">
        <f t="shared" si="13"/>
        <v>0.74516300351335896</v>
      </c>
      <c r="H49" s="128">
        <f t="shared" si="13"/>
        <v>0.75889123504326583</v>
      </c>
      <c r="I49" s="128">
        <f t="shared" si="13"/>
        <v>0.74364845229184096</v>
      </c>
      <c r="J49" s="128">
        <f t="shared" si="13"/>
        <v>0.73711846318036289</v>
      </c>
      <c r="K49" s="128">
        <f t="shared" si="13"/>
        <v>0.73333053233057433</v>
      </c>
      <c r="L49" s="128">
        <f t="shared" si="13"/>
        <v>0.81512078506914132</v>
      </c>
      <c r="M49" s="128">
        <f t="shared" si="13"/>
        <v>0.72392089631758338</v>
      </c>
      <c r="N49" s="128">
        <f t="shared" si="13"/>
        <v>0.76354147983826559</v>
      </c>
      <c r="O49" s="128">
        <f t="shared" si="13"/>
        <v>0.79768471424273246</v>
      </c>
    </row>
    <row r="50" spans="1:15" x14ac:dyDescent="0.2">
      <c r="A50" s="106"/>
      <c r="B50" s="129"/>
      <c r="C50" s="130"/>
      <c r="D50" s="131"/>
      <c r="E50" s="131"/>
      <c r="F50" s="131"/>
      <c r="G50" s="131"/>
      <c r="H50" s="132"/>
      <c r="I50" s="132"/>
      <c r="J50" s="132"/>
      <c r="K50" s="132"/>
      <c r="L50" s="132"/>
      <c r="M50" s="132"/>
      <c r="N50" s="132"/>
      <c r="O50" s="132"/>
    </row>
    <row r="51" spans="1:15" x14ac:dyDescent="0.2">
      <c r="A51" s="106"/>
      <c r="B51" s="106"/>
      <c r="C51" s="106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</row>
    <row r="52" spans="1:15" x14ac:dyDescent="0.2">
      <c r="A52" s="297" t="s">
        <v>227</v>
      </c>
      <c r="B52" s="298"/>
      <c r="C52" s="84" t="s">
        <v>185</v>
      </c>
      <c r="D52" s="85">
        <f t="shared" ref="D52:O52" si="14">+D42</f>
        <v>43101</v>
      </c>
      <c r="E52" s="85">
        <f t="shared" si="14"/>
        <v>43132</v>
      </c>
      <c r="F52" s="85">
        <f t="shared" si="14"/>
        <v>43160</v>
      </c>
      <c r="G52" s="85">
        <f t="shared" si="14"/>
        <v>43191</v>
      </c>
      <c r="H52" s="85">
        <f t="shared" si="14"/>
        <v>43221</v>
      </c>
      <c r="I52" s="85">
        <f t="shared" si="14"/>
        <v>43252</v>
      </c>
      <c r="J52" s="85">
        <f t="shared" si="14"/>
        <v>43282</v>
      </c>
      <c r="K52" s="85">
        <f t="shared" si="14"/>
        <v>43313</v>
      </c>
      <c r="L52" s="85">
        <f t="shared" si="14"/>
        <v>43344</v>
      </c>
      <c r="M52" s="85">
        <f t="shared" si="14"/>
        <v>43374</v>
      </c>
      <c r="N52" s="85">
        <f t="shared" si="14"/>
        <v>43405</v>
      </c>
      <c r="O52" s="85">
        <f t="shared" si="14"/>
        <v>43435</v>
      </c>
    </row>
    <row r="53" spans="1:15" x14ac:dyDescent="0.2">
      <c r="A53" s="126">
        <v>1</v>
      </c>
      <c r="B53" s="89" t="s">
        <v>228</v>
      </c>
      <c r="C53" s="90" t="s">
        <v>229</v>
      </c>
      <c r="D53" s="133">
        <f>+D6/D5</f>
        <v>0.99582898852971846</v>
      </c>
      <c r="E53" s="133">
        <f t="shared" ref="E53:O53" si="15">+E6/E5</f>
        <v>0.99583766909469307</v>
      </c>
      <c r="F53" s="133">
        <f t="shared" si="15"/>
        <v>0.99584199584199584</v>
      </c>
      <c r="G53" s="133">
        <f t="shared" si="15"/>
        <v>0.99585492227979278</v>
      </c>
      <c r="H53" s="133">
        <f t="shared" si="15"/>
        <v>0.9927835051546392</v>
      </c>
      <c r="I53" s="133">
        <f t="shared" si="15"/>
        <v>0.9927909371781668</v>
      </c>
      <c r="J53" s="133">
        <f t="shared" si="15"/>
        <v>0.9927835051546392</v>
      </c>
      <c r="K53" s="133">
        <f t="shared" si="15"/>
        <v>0.9928057553956835</v>
      </c>
      <c r="L53" s="133">
        <f t="shared" si="15"/>
        <v>0.99282051282051287</v>
      </c>
      <c r="M53" s="133">
        <f t="shared" si="15"/>
        <v>0.99282051282051287</v>
      </c>
      <c r="N53" s="133">
        <f t="shared" si="15"/>
        <v>0.99282051282051287</v>
      </c>
      <c r="O53" s="133">
        <f t="shared" si="15"/>
        <v>0.99282786885245899</v>
      </c>
    </row>
    <row r="54" spans="1:15" x14ac:dyDescent="0.2">
      <c r="A54" s="116">
        <v>2</v>
      </c>
      <c r="B54" s="93" t="s">
        <v>230</v>
      </c>
      <c r="C54" s="94" t="s">
        <v>229</v>
      </c>
      <c r="D54" s="133">
        <f>+D7/D5</f>
        <v>0.97601668404588116</v>
      </c>
      <c r="E54" s="133">
        <f t="shared" ref="E54:O54" si="16">+E7/E5</f>
        <v>0.9802289281997919</v>
      </c>
      <c r="F54" s="133">
        <f t="shared" si="16"/>
        <v>0.98024948024948022</v>
      </c>
      <c r="G54" s="133">
        <f t="shared" si="16"/>
        <v>0.98031088082901552</v>
      </c>
      <c r="H54" s="133">
        <f t="shared" si="16"/>
        <v>0.97731958762886595</v>
      </c>
      <c r="I54" s="133">
        <f t="shared" si="16"/>
        <v>0.97734294541709577</v>
      </c>
      <c r="J54" s="133">
        <f t="shared" si="16"/>
        <v>0.97731958762886595</v>
      </c>
      <c r="K54" s="133">
        <f t="shared" si="16"/>
        <v>0.97738951695786225</v>
      </c>
      <c r="L54" s="133">
        <f t="shared" si="16"/>
        <v>0.97743589743589743</v>
      </c>
      <c r="M54" s="133">
        <f t="shared" si="16"/>
        <v>0.97743589743589743</v>
      </c>
      <c r="N54" s="133">
        <f t="shared" si="16"/>
        <v>0.97743589743589743</v>
      </c>
      <c r="O54" s="133">
        <f t="shared" si="16"/>
        <v>0.97745901639344257</v>
      </c>
    </row>
    <row r="55" spans="1:15" x14ac:dyDescent="0.2">
      <c r="A55" s="126">
        <v>3</v>
      </c>
      <c r="B55" s="89" t="s">
        <v>231</v>
      </c>
      <c r="C55" s="90" t="s">
        <v>229</v>
      </c>
      <c r="D55" s="133">
        <f>IF((D5&gt;0),D8/D5,"-")</f>
        <v>0.98018769551616269</v>
      </c>
      <c r="E55" s="133">
        <f t="shared" ref="E55:O55" si="17">IF((E5&gt;0),E8/E5,"-")</f>
        <v>0.9802289281997919</v>
      </c>
      <c r="F55" s="133">
        <f t="shared" si="17"/>
        <v>0.98024948024948022</v>
      </c>
      <c r="G55" s="133">
        <f t="shared" si="17"/>
        <v>0.98031088082901552</v>
      </c>
      <c r="H55" s="133">
        <f t="shared" si="17"/>
        <v>0.97731958762886595</v>
      </c>
      <c r="I55" s="133">
        <f t="shared" si="17"/>
        <v>0.97734294541709577</v>
      </c>
      <c r="J55" s="133">
        <f t="shared" si="17"/>
        <v>0.97731958762886595</v>
      </c>
      <c r="K55" s="133">
        <f t="shared" si="17"/>
        <v>0.97738951695786225</v>
      </c>
      <c r="L55" s="133">
        <f t="shared" si="17"/>
        <v>0.97743589743589743</v>
      </c>
      <c r="M55" s="133">
        <f t="shared" si="17"/>
        <v>0.97743589743589743</v>
      </c>
      <c r="N55" s="133">
        <f t="shared" si="17"/>
        <v>0.97743589743589743</v>
      </c>
      <c r="O55" s="133">
        <f t="shared" si="17"/>
        <v>0.97745901639344257</v>
      </c>
    </row>
    <row r="56" spans="1:15" x14ac:dyDescent="0.2">
      <c r="A56" s="116">
        <v>4</v>
      </c>
      <c r="B56" s="93" t="s">
        <v>232</v>
      </c>
      <c r="C56" s="94" t="s">
        <v>233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5" x14ac:dyDescent="0.2">
      <c r="A57" s="126">
        <v>5</v>
      </c>
      <c r="B57" s="89" t="s">
        <v>234</v>
      </c>
      <c r="C57" s="90" t="s">
        <v>229</v>
      </c>
      <c r="D57" s="134">
        <f>+ROUND((D9-D10)/D9,4)</f>
        <v>0.59830000000000005</v>
      </c>
      <c r="E57" s="134">
        <f t="shared" ref="E57:O57" si="18">+ROUND((E9-E10)/E9,4)</f>
        <v>0.64159999999999995</v>
      </c>
      <c r="F57" s="134">
        <f t="shared" si="18"/>
        <v>0.67479999999999996</v>
      </c>
      <c r="G57" s="134">
        <f t="shared" si="18"/>
        <v>0.6149</v>
      </c>
      <c r="H57" s="134">
        <f t="shared" si="18"/>
        <v>0.66710000000000003</v>
      </c>
      <c r="I57" s="134">
        <f t="shared" si="18"/>
        <v>0.60650000000000004</v>
      </c>
      <c r="J57" s="134">
        <f t="shared" si="18"/>
        <v>0.49249999999999999</v>
      </c>
      <c r="K57" s="134">
        <f t="shared" si="18"/>
        <v>0.36459999999999998</v>
      </c>
      <c r="L57" s="134">
        <f t="shared" si="18"/>
        <v>0.49399999999999999</v>
      </c>
      <c r="M57" s="134">
        <f t="shared" si="18"/>
        <v>0.51439999999999997</v>
      </c>
      <c r="N57" s="134">
        <f t="shared" si="18"/>
        <v>0.2233</v>
      </c>
      <c r="O57" s="134">
        <f t="shared" si="18"/>
        <v>0.60289999999999999</v>
      </c>
    </row>
    <row r="58" spans="1:15" x14ac:dyDescent="0.2">
      <c r="A58" s="116">
        <v>6</v>
      </c>
      <c r="B58" s="93" t="s">
        <v>235</v>
      </c>
      <c r="C58" s="94" t="s">
        <v>229</v>
      </c>
      <c r="D58" s="135">
        <f>+D15/D14</f>
        <v>0.8806921392793029</v>
      </c>
      <c r="E58" s="135">
        <f t="shared" ref="E58:O58" si="19">+E15/E14</f>
        <v>0.90219449877641889</v>
      </c>
      <c r="F58" s="135">
        <f t="shared" si="19"/>
        <v>0.87561230780624744</v>
      </c>
      <c r="G58" s="135">
        <f t="shared" si="19"/>
        <v>0.88583659018222505</v>
      </c>
      <c r="H58" s="135">
        <f t="shared" si="19"/>
        <v>0.88378586127732262</v>
      </c>
      <c r="I58" s="135">
        <f t="shared" si="19"/>
        <v>0.8883796254857661</v>
      </c>
      <c r="J58" s="135">
        <f t="shared" si="19"/>
        <v>0.89140311785626192</v>
      </c>
      <c r="K58" s="135">
        <f t="shared" si="19"/>
        <v>0.80091623551677049</v>
      </c>
      <c r="L58" s="135">
        <f t="shared" si="19"/>
        <v>0.89083773852501291</v>
      </c>
      <c r="M58" s="135">
        <f t="shared" si="19"/>
        <v>0.82875973923401058</v>
      </c>
      <c r="N58" s="135">
        <f t="shared" si="19"/>
        <v>0.8302074687693306</v>
      </c>
      <c r="O58" s="134">
        <f t="shared" si="19"/>
        <v>0.85435354358280191</v>
      </c>
    </row>
    <row r="59" spans="1:15" x14ac:dyDescent="0.2">
      <c r="A59" s="126">
        <v>7</v>
      </c>
      <c r="B59" s="89" t="s">
        <v>236</v>
      </c>
      <c r="C59" s="90" t="s">
        <v>229</v>
      </c>
      <c r="D59" s="135">
        <f>+D17/D16</f>
        <v>0.88473963200287231</v>
      </c>
      <c r="E59" s="135">
        <f t="shared" ref="E59:O59" si="20">+E17/E16</f>
        <v>0.91399846103075433</v>
      </c>
      <c r="F59" s="135">
        <f t="shared" si="20"/>
        <v>0.87900392273460948</v>
      </c>
      <c r="G59" s="135">
        <f t="shared" si="20"/>
        <v>0.89562597657852461</v>
      </c>
      <c r="H59" s="135">
        <f t="shared" si="20"/>
        <v>0.88936666387629781</v>
      </c>
      <c r="I59" s="135">
        <f t="shared" si="20"/>
        <v>0.89821821890655285</v>
      </c>
      <c r="J59" s="135">
        <f t="shared" si="20"/>
        <v>0.89426813251357573</v>
      </c>
      <c r="K59" s="135">
        <f t="shared" si="20"/>
        <v>0.81812770666269086</v>
      </c>
      <c r="L59" s="135">
        <f t="shared" si="20"/>
        <v>0.88981737425284102</v>
      </c>
      <c r="M59" s="135">
        <f t="shared" si="20"/>
        <v>0.84758423951242179</v>
      </c>
      <c r="N59" s="135">
        <f t="shared" si="20"/>
        <v>0.82720100852065337</v>
      </c>
      <c r="O59" s="134">
        <f t="shared" si="20"/>
        <v>0.86904729809035874</v>
      </c>
    </row>
    <row r="60" spans="1:15" x14ac:dyDescent="0.2">
      <c r="A60" s="116">
        <v>8</v>
      </c>
      <c r="B60" s="93" t="s">
        <v>237</v>
      </c>
      <c r="C60" s="94" t="s">
        <v>229</v>
      </c>
      <c r="D60" s="135">
        <f>+D19/D18</f>
        <v>0.92728952956317046</v>
      </c>
      <c r="E60" s="135">
        <f t="shared" ref="E60:O60" si="21">+E19/E18</f>
        <v>0.92771283840599661</v>
      </c>
      <c r="F60" s="135">
        <f t="shared" si="21"/>
        <v>0.89137637163318506</v>
      </c>
      <c r="G60" s="135">
        <f t="shared" si="21"/>
        <v>0.89406123006764449</v>
      </c>
      <c r="H60" s="135">
        <f t="shared" si="21"/>
        <v>0.89066087113059511</v>
      </c>
      <c r="I60" s="135">
        <f t="shared" si="21"/>
        <v>0.90114397775162414</v>
      </c>
      <c r="J60" s="135">
        <f t="shared" si="21"/>
        <v>0.89402458635538462</v>
      </c>
      <c r="K60" s="135">
        <f t="shared" si="21"/>
        <v>0.83405365578426904</v>
      </c>
      <c r="L60" s="135">
        <f t="shared" si="21"/>
        <v>0.89157371438777755</v>
      </c>
      <c r="M60" s="135">
        <f t="shared" si="21"/>
        <v>0.85503567595088825</v>
      </c>
      <c r="N60" s="135">
        <f t="shared" si="21"/>
        <v>0.82314853636469543</v>
      </c>
      <c r="O60" s="134">
        <f t="shared" si="21"/>
        <v>0.87665535267820727</v>
      </c>
    </row>
    <row r="61" spans="1:15" s="67" customFormat="1" x14ac:dyDescent="0.2">
      <c r="A61" s="117">
        <v>9</v>
      </c>
      <c r="B61" s="118" t="s">
        <v>238</v>
      </c>
      <c r="C61" s="100" t="s">
        <v>229</v>
      </c>
      <c r="D61" s="135">
        <f>+D21/D20</f>
        <v>0.28566171164670229</v>
      </c>
      <c r="E61" s="135">
        <f t="shared" ref="E61:O61" si="22">+E21/E20</f>
        <v>0.47356208769960312</v>
      </c>
      <c r="F61" s="135">
        <f t="shared" si="22"/>
        <v>0.69165293091128555</v>
      </c>
      <c r="G61" s="135">
        <f t="shared" si="22"/>
        <v>0.70584243382910372</v>
      </c>
      <c r="H61" s="135">
        <f t="shared" si="22"/>
        <v>0.72626746554443367</v>
      </c>
      <c r="I61" s="135">
        <f t="shared" si="22"/>
        <v>0.69594478202638166</v>
      </c>
      <c r="J61" s="135">
        <f t="shared" si="22"/>
        <v>0.68812418662506025</v>
      </c>
      <c r="K61" s="135">
        <f t="shared" si="22"/>
        <v>0.70807021069698839</v>
      </c>
      <c r="L61" s="135">
        <f t="shared" si="22"/>
        <v>0.80733477497152217</v>
      </c>
      <c r="M61" s="135">
        <f t="shared" si="22"/>
        <v>0.66606850850955257</v>
      </c>
      <c r="N61" s="135">
        <f t="shared" si="22"/>
        <v>0.73122550908390338</v>
      </c>
      <c r="O61" s="135">
        <f t="shared" si="22"/>
        <v>0.76876612067635197</v>
      </c>
    </row>
    <row r="62" spans="1:15" x14ac:dyDescent="0.2">
      <c r="A62" s="116">
        <v>10</v>
      </c>
      <c r="B62" s="93" t="s">
        <v>239</v>
      </c>
      <c r="C62" s="94" t="s">
        <v>229</v>
      </c>
      <c r="D62" s="135">
        <f>+D23/D22</f>
        <v>0.62233797105502342</v>
      </c>
      <c r="E62" s="135">
        <f t="shared" ref="E62:O62" si="23">+E23/E22</f>
        <v>0.61786741941358592</v>
      </c>
      <c r="F62" s="135">
        <f t="shared" si="23"/>
        <v>0.82952537755922529</v>
      </c>
      <c r="G62" s="135">
        <f t="shared" si="23"/>
        <v>0.8816390390890686</v>
      </c>
      <c r="H62" s="135">
        <f t="shared" si="23"/>
        <v>0.87116913776490534</v>
      </c>
      <c r="I62" s="135">
        <f t="shared" si="23"/>
        <v>0.87466478732169106</v>
      </c>
      <c r="J62" s="135">
        <f t="shared" si="23"/>
        <v>0.88306518686436908</v>
      </c>
      <c r="K62" s="135">
        <f t="shared" si="23"/>
        <v>0.85398512531140913</v>
      </c>
      <c r="L62" s="135">
        <f t="shared" si="23"/>
        <v>0.90155962900019437</v>
      </c>
      <c r="M62" s="135">
        <f t="shared" si="23"/>
        <v>0.84169403275464305</v>
      </c>
      <c r="N62" s="135">
        <f t="shared" si="23"/>
        <v>0.8738337504798922</v>
      </c>
      <c r="O62" s="135">
        <f t="shared" si="23"/>
        <v>0.88607678962828118</v>
      </c>
    </row>
    <row r="63" spans="1:15" s="67" customFormat="1" x14ac:dyDescent="0.2">
      <c r="A63" s="117">
        <v>11</v>
      </c>
      <c r="B63" s="118" t="s">
        <v>240</v>
      </c>
      <c r="C63" s="100" t="s">
        <v>229</v>
      </c>
      <c r="D63" s="135">
        <f>+D25/D24</f>
        <v>0.53449757437154177</v>
      </c>
      <c r="E63" s="135">
        <f t="shared" ref="E63:O63" si="24">+E25/E24</f>
        <v>0.57764860226147374</v>
      </c>
      <c r="F63" s="135">
        <f t="shared" si="24"/>
        <v>0.60122305261451203</v>
      </c>
      <c r="G63" s="135">
        <f t="shared" si="24"/>
        <v>0.70490829768975638</v>
      </c>
      <c r="H63" s="135">
        <f t="shared" si="24"/>
        <v>0.72849501971896613</v>
      </c>
      <c r="I63" s="135">
        <f t="shared" si="24"/>
        <v>0.71936240945194219</v>
      </c>
      <c r="J63" s="135">
        <f t="shared" si="24"/>
        <v>0.7045380648811459</v>
      </c>
      <c r="K63" s="135">
        <f t="shared" si="24"/>
        <v>0.68538154085936975</v>
      </c>
      <c r="L63" s="135">
        <f t="shared" si="24"/>
        <v>0.76381694940431455</v>
      </c>
      <c r="M63" s="135">
        <f t="shared" si="24"/>
        <v>0.71380141391359153</v>
      </c>
      <c r="N63" s="135">
        <f t="shared" si="24"/>
        <v>0.7372982554837888</v>
      </c>
      <c r="O63" s="135">
        <f t="shared" si="24"/>
        <v>0.77547283524280664</v>
      </c>
    </row>
    <row r="64" spans="1:15" x14ac:dyDescent="0.2">
      <c r="A64" s="116">
        <v>12</v>
      </c>
      <c r="B64" s="93" t="s">
        <v>241</v>
      </c>
      <c r="C64" s="94" t="s">
        <v>229</v>
      </c>
      <c r="D64" s="135">
        <f t="shared" ref="D64:O64" si="25">+D27/D26</f>
        <v>0.84476072907466049</v>
      </c>
      <c r="E64" s="135">
        <f t="shared" si="25"/>
        <v>0.83028414107703608</v>
      </c>
      <c r="F64" s="135">
        <f t="shared" si="25"/>
        <v>0.84582801488938963</v>
      </c>
      <c r="G64" s="135">
        <f t="shared" si="25"/>
        <v>0.86107593435796892</v>
      </c>
      <c r="H64" s="135">
        <f t="shared" si="25"/>
        <v>0.86061137474052851</v>
      </c>
      <c r="I64" s="135">
        <f t="shared" si="25"/>
        <v>0.86299076526576302</v>
      </c>
      <c r="J64" s="135">
        <f t="shared" si="25"/>
        <v>0.86419459790903208</v>
      </c>
      <c r="K64" s="135">
        <f t="shared" si="25"/>
        <v>0.78860906374826756</v>
      </c>
      <c r="L64" s="135">
        <f t="shared" si="25"/>
        <v>0.87547128969584176</v>
      </c>
      <c r="M64" s="135">
        <f t="shared" si="25"/>
        <v>0.80354841935634225</v>
      </c>
      <c r="N64" s="135">
        <f t="shared" si="25"/>
        <v>0.81179009246112821</v>
      </c>
      <c r="O64" s="135">
        <f t="shared" si="25"/>
        <v>0.83785896996872733</v>
      </c>
    </row>
    <row r="65" spans="1:15" s="67" customFormat="1" x14ac:dyDescent="0.2">
      <c r="A65" s="117">
        <v>13</v>
      </c>
      <c r="B65" s="118" t="s">
        <v>242</v>
      </c>
      <c r="C65" s="100" t="s">
        <v>229</v>
      </c>
      <c r="D65" s="135">
        <f t="shared" ref="D65:O65" si="26">+D29/D28</f>
        <v>0.87675373045405491</v>
      </c>
      <c r="E65" s="135">
        <f t="shared" si="26"/>
        <v>0.87589230621772307</v>
      </c>
      <c r="F65" s="135">
        <f t="shared" si="26"/>
        <v>0.87272529557391088</v>
      </c>
      <c r="G65" s="135">
        <f t="shared" si="26"/>
        <v>0.89406242193816432</v>
      </c>
      <c r="H65" s="135">
        <f t="shared" si="26"/>
        <v>0.8872539994820523</v>
      </c>
      <c r="I65" s="135">
        <f t="shared" si="26"/>
        <v>0.89575830994624783</v>
      </c>
      <c r="J65" s="135">
        <f t="shared" si="26"/>
        <v>0.89309329093727452</v>
      </c>
      <c r="K65" s="135">
        <f t="shared" si="26"/>
        <v>0.82215016580953904</v>
      </c>
      <c r="L65" s="135">
        <f t="shared" si="26"/>
        <v>0.89167863650234935</v>
      </c>
      <c r="M65" s="135">
        <f t="shared" si="26"/>
        <v>0.8467696886936571</v>
      </c>
      <c r="N65" s="135">
        <f t="shared" si="26"/>
        <v>0.83397841630310687</v>
      </c>
      <c r="O65" s="135">
        <f t="shared" si="26"/>
        <v>0.87204146328106136</v>
      </c>
    </row>
    <row r="66" spans="1:15" x14ac:dyDescent="0.2">
      <c r="A66" s="116">
        <v>14</v>
      </c>
      <c r="B66" s="93" t="s">
        <v>243</v>
      </c>
      <c r="C66" s="94" t="s">
        <v>229</v>
      </c>
      <c r="D66" s="135">
        <f t="shared" ref="D66:O66" si="27">+D31/D30</f>
        <v>0.89750245964789666</v>
      </c>
      <c r="E66" s="135">
        <f t="shared" si="27"/>
        <v>0.8913051181663012</v>
      </c>
      <c r="F66" s="135">
        <f t="shared" si="27"/>
        <v>0.86180659108105584</v>
      </c>
      <c r="G66" s="135">
        <f t="shared" si="27"/>
        <v>0.86887436578308486</v>
      </c>
      <c r="H66" s="135">
        <f t="shared" si="27"/>
        <v>0.86938960973393242</v>
      </c>
      <c r="I66" s="135">
        <f t="shared" si="27"/>
        <v>0.87799620930140265</v>
      </c>
      <c r="J66" s="135">
        <f t="shared" si="27"/>
        <v>0.86971785867170626</v>
      </c>
      <c r="K66" s="135">
        <f t="shared" si="27"/>
        <v>0.81455516982911969</v>
      </c>
      <c r="L66" s="135">
        <f t="shared" si="27"/>
        <v>0.87086171603536655</v>
      </c>
      <c r="M66" s="135">
        <f t="shared" si="27"/>
        <v>0.83424245589729429</v>
      </c>
      <c r="N66" s="135">
        <f t="shared" si="27"/>
        <v>0.80923651172141242</v>
      </c>
      <c r="O66" s="135">
        <f t="shared" si="27"/>
        <v>0.85772776344246859</v>
      </c>
    </row>
    <row r="67" spans="1:15" s="67" customFormat="1" x14ac:dyDescent="0.2">
      <c r="A67" s="117">
        <v>15</v>
      </c>
      <c r="B67" s="118" t="s">
        <v>244</v>
      </c>
      <c r="C67" s="136" t="s">
        <v>229</v>
      </c>
      <c r="D67" s="135">
        <f t="shared" ref="D67:O67" si="28">+D33/D32</f>
        <v>0.87100698588729975</v>
      </c>
      <c r="E67" s="135">
        <f t="shared" si="28"/>
        <v>0.86409250415001904</v>
      </c>
      <c r="F67" s="135">
        <f t="shared" si="28"/>
        <v>0.8585125289559058</v>
      </c>
      <c r="G67" s="135">
        <f t="shared" si="28"/>
        <v>0.87243279786410899</v>
      </c>
      <c r="H67" s="135">
        <f t="shared" si="28"/>
        <v>0.87057039723155871</v>
      </c>
      <c r="I67" s="135">
        <f t="shared" si="28"/>
        <v>0.87683427635254996</v>
      </c>
      <c r="J67" s="135">
        <f t="shared" si="28"/>
        <v>0.87370124701512342</v>
      </c>
      <c r="K67" s="135">
        <f t="shared" si="28"/>
        <v>0.80657354027023009</v>
      </c>
      <c r="L67" s="135">
        <f t="shared" si="28"/>
        <v>0.87798866499145167</v>
      </c>
      <c r="M67" s="135">
        <f t="shared" si="28"/>
        <v>0.8256247479472274</v>
      </c>
      <c r="N67" s="135">
        <f t="shared" si="28"/>
        <v>0.8162540541678952</v>
      </c>
      <c r="O67" s="135">
        <f t="shared" si="28"/>
        <v>0.85363787473076036</v>
      </c>
    </row>
    <row r="68" spans="1:15" hidden="1" x14ac:dyDescent="0.2">
      <c r="A68" s="116">
        <v>16</v>
      </c>
      <c r="B68" s="93" t="s">
        <v>245</v>
      </c>
      <c r="C68" s="94" t="s">
        <v>246</v>
      </c>
      <c r="D68" s="137">
        <f t="shared" ref="D68:G68" si="29">+D13/D10</f>
        <v>0</v>
      </c>
      <c r="E68" s="137">
        <f t="shared" si="29"/>
        <v>0</v>
      </c>
      <c r="F68" s="137">
        <f t="shared" si="29"/>
        <v>0</v>
      </c>
      <c r="G68" s="137">
        <f t="shared" si="29"/>
        <v>0</v>
      </c>
      <c r="H68" s="137">
        <f t="shared" ref="H68:O68" si="30">+H13/H10</f>
        <v>0</v>
      </c>
      <c r="I68" s="137">
        <f t="shared" si="30"/>
        <v>0</v>
      </c>
      <c r="J68" s="137">
        <f t="shared" si="30"/>
        <v>0</v>
      </c>
      <c r="K68" s="137">
        <f t="shared" si="30"/>
        <v>0</v>
      </c>
      <c r="L68" s="137">
        <f t="shared" si="30"/>
        <v>0</v>
      </c>
      <c r="M68" s="137">
        <f t="shared" si="30"/>
        <v>0</v>
      </c>
      <c r="N68" s="137">
        <f t="shared" si="30"/>
        <v>0</v>
      </c>
      <c r="O68" s="137">
        <f t="shared" si="30"/>
        <v>0</v>
      </c>
    </row>
    <row r="69" spans="1:15" hidden="1" x14ac:dyDescent="0.2">
      <c r="A69" s="126">
        <v>17</v>
      </c>
      <c r="B69" s="118" t="s">
        <v>247</v>
      </c>
      <c r="C69" s="100" t="s">
        <v>194</v>
      </c>
      <c r="D69" s="138">
        <f t="shared" ref="D69:G69" si="31">+D11-D12-D13</f>
        <v>13109</v>
      </c>
      <c r="E69" s="138">
        <f t="shared" si="31"/>
        <v>10547</v>
      </c>
      <c r="F69" s="138">
        <f t="shared" si="31"/>
        <v>10245</v>
      </c>
      <c r="G69" s="138">
        <f t="shared" si="31"/>
        <v>12135</v>
      </c>
      <c r="H69" s="138">
        <f t="shared" ref="H69:O69" si="32">+H11-H12-H13</f>
        <v>10857</v>
      </c>
      <c r="I69" s="138">
        <f t="shared" si="32"/>
        <v>11907</v>
      </c>
      <c r="J69" s="138">
        <f t="shared" si="32"/>
        <v>12453</v>
      </c>
      <c r="K69" s="138">
        <f t="shared" si="32"/>
        <v>12103</v>
      </c>
      <c r="L69" s="138">
        <f t="shared" si="32"/>
        <v>11625</v>
      </c>
      <c r="M69" s="138">
        <f t="shared" si="32"/>
        <v>10570</v>
      </c>
      <c r="N69" s="138">
        <f t="shared" si="32"/>
        <v>10947</v>
      </c>
      <c r="O69" s="138">
        <f t="shared" si="32"/>
        <v>10052</v>
      </c>
    </row>
    <row r="71" spans="1:15" x14ac:dyDescent="0.2">
      <c r="B71" s="293" t="s">
        <v>248</v>
      </c>
      <c r="C71" s="293"/>
      <c r="D71" s="299"/>
      <c r="E71" s="299"/>
      <c r="F71" s="299"/>
      <c r="G71" s="299"/>
    </row>
    <row r="87" spans="2:3" x14ac:dyDescent="0.2">
      <c r="B87" s="293" t="s">
        <v>249</v>
      </c>
      <c r="C87" s="293"/>
    </row>
    <row r="94" spans="2:3" ht="14.25" customHeight="1" x14ac:dyDescent="0.2"/>
    <row r="168" spans="5:10" x14ac:dyDescent="0.2">
      <c r="E168" s="87"/>
      <c r="F168" s="87"/>
      <c r="G168" s="87"/>
      <c r="H168" s="87"/>
      <c r="I168" s="87"/>
      <c r="J168" s="87"/>
    </row>
    <row r="171" spans="5:10" x14ac:dyDescent="0.2">
      <c r="F171" s="86" t="s">
        <v>263</v>
      </c>
    </row>
  </sheetData>
  <sheetProtection password="9F06" sheet="1" objects="1" scenarios="1"/>
  <mergeCells count="9">
    <mergeCell ref="B87:C87"/>
    <mergeCell ref="A1:G1"/>
    <mergeCell ref="A2:B2"/>
    <mergeCell ref="A4:B4"/>
    <mergeCell ref="A52:B52"/>
    <mergeCell ref="B71:C71"/>
    <mergeCell ref="D71:G71"/>
    <mergeCell ref="E2:F2"/>
    <mergeCell ref="G2:K2"/>
  </mergeCells>
  <printOptions horizontalCentered="1"/>
  <pageMargins left="0" right="0" top="1.3779527559055118" bottom="0.39370078740157483" header="0.55118110236220474" footer="0.19685039370078741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5" zoomScaleSheetLayoutView="72" workbookViewId="0">
      <selection activeCell="A28" sqref="A28:M31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9.140625" style="3" customWidth="1"/>
    <col min="4" max="4" width="9" style="3" bestFit="1" customWidth="1"/>
    <col min="5" max="5" width="8.7109375" style="3" customWidth="1"/>
    <col min="6" max="6" width="9.85546875" style="3" customWidth="1"/>
    <col min="7" max="7" width="9.140625" style="3" customWidth="1"/>
    <col min="8" max="8" width="9" style="3" customWidth="1"/>
    <col min="9" max="9" width="9.85546875" style="3" customWidth="1"/>
    <col min="10" max="10" width="9.28515625" style="3" customWidth="1"/>
    <col min="11" max="11" width="7.7109375" style="3" customWidth="1"/>
    <col min="12" max="12" width="8.28515625" style="3" customWidth="1"/>
    <col min="13" max="14" width="7.7109375" style="3" customWidth="1"/>
    <col min="15" max="15" width="10.140625" style="3" customWidth="1"/>
    <col min="16" max="16" width="6.140625" style="3" customWidth="1"/>
    <col min="17" max="18" width="6.140625" style="3" hidden="1" customWidth="1"/>
    <col min="19" max="19" width="6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Paicol'!$B6</f>
        <v>Eficiencia de Recaudo  Corriente</v>
      </c>
      <c r="G4" s="256"/>
      <c r="H4" s="257"/>
      <c r="I4" s="256"/>
      <c r="J4" s="256"/>
      <c r="K4" s="257"/>
      <c r="L4" s="256"/>
      <c r="M4" s="256"/>
      <c r="N4" s="256"/>
      <c r="O4" s="258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Paicol'!F6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Paicol'!A6</f>
        <v>IN01</v>
      </c>
      <c r="H6" s="262"/>
      <c r="I6" s="261"/>
      <c r="J6" s="261"/>
      <c r="K6" s="262"/>
      <c r="L6" s="261"/>
      <c r="M6" s="261"/>
      <c r="N6" s="261"/>
      <c r="O6" s="263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47.25" customHeight="1" thickBot="1" x14ac:dyDescent="0.3">
      <c r="A9" s="206" t="str">
        <f>'SET SP Paicol'!$C6</f>
        <v>Medir la eficiencia en el recaudo corriente de la prestación de los servicios pubicos domiciliarios de Aguas del Huila.</v>
      </c>
      <c r="B9" s="207"/>
      <c r="C9" s="207"/>
      <c r="D9" s="207"/>
      <c r="E9" s="17" t="s">
        <v>35</v>
      </c>
      <c r="F9" s="207" t="str">
        <f>'SET SP Paicol'!$D6</f>
        <v>(Valor  Recaudado  Corriente Usuario Final / Valor  Facturado Corriente Usuario Final) x100%</v>
      </c>
      <c r="G9" s="207"/>
      <c r="H9" s="14">
        <f>$O16</f>
        <v>0.85</v>
      </c>
      <c r="I9" s="28" t="str">
        <f>'SET SP Paicol'!$E6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39">
        <f t="shared" ref="C15:N15" si="0">$O$15</f>
        <v>0.8</v>
      </c>
      <c r="D15" s="139">
        <f t="shared" si="0"/>
        <v>0.8</v>
      </c>
      <c r="E15" s="139">
        <f t="shared" si="0"/>
        <v>0.8</v>
      </c>
      <c r="F15" s="139">
        <f t="shared" si="0"/>
        <v>0.8</v>
      </c>
      <c r="G15" s="139">
        <f t="shared" si="0"/>
        <v>0.8</v>
      </c>
      <c r="H15" s="139">
        <f t="shared" si="0"/>
        <v>0.8</v>
      </c>
      <c r="I15" s="139">
        <f t="shared" si="0"/>
        <v>0.8</v>
      </c>
      <c r="J15" s="139">
        <f t="shared" si="0"/>
        <v>0.8</v>
      </c>
      <c r="K15" s="139">
        <f t="shared" si="0"/>
        <v>0.8</v>
      </c>
      <c r="L15" s="139">
        <f t="shared" si="0"/>
        <v>0.8</v>
      </c>
      <c r="M15" s="139">
        <f t="shared" si="0"/>
        <v>0.8</v>
      </c>
      <c r="N15" s="139">
        <f t="shared" si="0"/>
        <v>0.8</v>
      </c>
      <c r="O15" s="140">
        <f>'SET SP Paicol'!J6</f>
        <v>0.8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39">
        <f t="shared" ref="C16:N16" si="1">$O$16</f>
        <v>0.85</v>
      </c>
      <c r="D16" s="139">
        <f t="shared" si="1"/>
        <v>0.85</v>
      </c>
      <c r="E16" s="139">
        <f t="shared" si="1"/>
        <v>0.85</v>
      </c>
      <c r="F16" s="139">
        <f t="shared" si="1"/>
        <v>0.85</v>
      </c>
      <c r="G16" s="139">
        <f t="shared" si="1"/>
        <v>0.85</v>
      </c>
      <c r="H16" s="139">
        <f t="shared" si="1"/>
        <v>0.85</v>
      </c>
      <c r="I16" s="139">
        <f t="shared" si="1"/>
        <v>0.85</v>
      </c>
      <c r="J16" s="139">
        <f t="shared" si="1"/>
        <v>0.85</v>
      </c>
      <c r="K16" s="139">
        <f t="shared" si="1"/>
        <v>0.85</v>
      </c>
      <c r="L16" s="139">
        <f t="shared" si="1"/>
        <v>0.85</v>
      </c>
      <c r="M16" s="139">
        <f t="shared" si="1"/>
        <v>0.85</v>
      </c>
      <c r="N16" s="139">
        <f t="shared" si="1"/>
        <v>0.85</v>
      </c>
      <c r="O16" s="140">
        <f>'SET SP Paicol'!K6</f>
        <v>0.85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 t="shared" ref="C17:E17" si="2">IF((C19),C18/C19,"-")</f>
        <v>0.89706179407134967</v>
      </c>
      <c r="D17" s="12">
        <f t="shared" si="2"/>
        <v>0.91481892604412374</v>
      </c>
      <c r="E17" s="12">
        <f t="shared" si="2"/>
        <v>0.88252501667778516</v>
      </c>
      <c r="F17" s="12">
        <f>IF((F19),F18/F19,"-")</f>
        <v>0.8913297848141577</v>
      </c>
      <c r="G17" s="12">
        <f t="shared" ref="G17:O17" si="3">IF((G19),G18/G19,"-")</f>
        <v>0.88776352481873955</v>
      </c>
      <c r="H17" s="12">
        <f t="shared" si="3"/>
        <v>0.89554898345563216</v>
      </c>
      <c r="I17" s="12">
        <f t="shared" si="3"/>
        <v>0.89308892592031508</v>
      </c>
      <c r="J17" s="12">
        <f t="shared" si="3"/>
        <v>0.81720470763870701</v>
      </c>
      <c r="K17" s="12">
        <f t="shared" si="3"/>
        <v>0.89083669243771302</v>
      </c>
      <c r="L17" s="12">
        <f t="shared" si="3"/>
        <v>0.84329020894333984</v>
      </c>
      <c r="M17" s="12">
        <f t="shared" si="3"/>
        <v>0.82684689925544186</v>
      </c>
      <c r="N17" s="12">
        <f t="shared" si="3"/>
        <v>0.86646737077249059</v>
      </c>
      <c r="O17" s="13">
        <f t="shared" si="3"/>
        <v>0.87539351616582994</v>
      </c>
      <c r="V17" s="9"/>
      <c r="W17" s="10"/>
      <c r="X17" s="10"/>
    </row>
    <row r="18" spans="1:24" ht="23.25" customHeight="1" x14ac:dyDescent="0.25">
      <c r="A18" s="189" t="s">
        <v>37</v>
      </c>
      <c r="B18" s="40" t="s">
        <v>132</v>
      </c>
      <c r="C18" s="58">
        <f>'PAICOL-18'!D$15+'PAICOL-18'!D$17+'PAICOL-18'!D$19</f>
        <v>14699608</v>
      </c>
      <c r="D18" s="58">
        <f>'PAICOL-18'!E$15+'PAICOL-18'!E$17+'PAICOL-18'!E$19</f>
        <v>13186200</v>
      </c>
      <c r="E18" s="58">
        <f>'PAICOL-18'!F$15+'PAICOL-18'!F$17+'PAICOL-18'!F$19</f>
        <v>13229050</v>
      </c>
      <c r="F18" s="58">
        <f>'PAICOL-18'!G$15+'PAICOL-18'!G$17+'PAICOL-18'!G$19</f>
        <v>14694240</v>
      </c>
      <c r="G18" s="58">
        <f>'PAICOL-18'!H$15+'PAICOL-18'!H$17+'PAICOL-18'!H$19</f>
        <v>13927900</v>
      </c>
      <c r="H18" s="58">
        <f>'PAICOL-18'!I$15+'PAICOL-18'!I$17+'PAICOL-18'!I$19</f>
        <v>14474400</v>
      </c>
      <c r="I18" s="58">
        <f>'PAICOL-18'!J$15+'PAICOL-18'!J$17+'PAICOL-18'!J$19</f>
        <v>14738200</v>
      </c>
      <c r="J18" s="58">
        <f>'PAICOL-18'!K$15+'PAICOL-18'!K$17+'PAICOL-18'!K$19</f>
        <v>13400200</v>
      </c>
      <c r="K18" s="58">
        <f>'PAICOL-18'!L$15+'PAICOL-18'!L$17+'PAICOL-18'!L$19</f>
        <v>14505150</v>
      </c>
      <c r="L18" s="58">
        <f>'PAICOL-18'!M$15+'PAICOL-18'!M$17+'PAICOL-18'!M$19</f>
        <v>13094763</v>
      </c>
      <c r="M18" s="58">
        <f>'PAICOL-18'!N$15+'PAICOL-18'!N$17+'PAICOL-18'!N$19</f>
        <v>13076377</v>
      </c>
      <c r="N18" s="58">
        <f>'PAICOL-18'!O$15+'PAICOL-18'!O$17+'PAICOL-18'!O$19</f>
        <v>13187850</v>
      </c>
      <c r="O18" s="60">
        <f>SUM(C18:N18)</f>
        <v>166213938</v>
      </c>
      <c r="V18" s="9"/>
      <c r="W18" s="10"/>
      <c r="X18" s="10"/>
    </row>
    <row r="19" spans="1:24" ht="17.25" customHeight="1" x14ac:dyDescent="0.25">
      <c r="A19" s="189"/>
      <c r="B19" s="40" t="s">
        <v>131</v>
      </c>
      <c r="C19" s="58">
        <f>'PAICOL-18'!D$14+'PAICOL-18'!D$16+'PAICOL-18'!D$18</f>
        <v>16386394</v>
      </c>
      <c r="D19" s="58">
        <f>'PAICOL-18'!E$14+'PAICOL-18'!E$16+'PAICOL-18'!E$18</f>
        <v>14414000</v>
      </c>
      <c r="E19" s="58">
        <f>'PAICOL-18'!F$14+'PAICOL-18'!F$16+'PAICOL-18'!F$18</f>
        <v>14990000</v>
      </c>
      <c r="F19" s="58">
        <f>'PAICOL-18'!G$14+'PAICOL-18'!G$16+'PAICOL-18'!G$18</f>
        <v>16485750</v>
      </c>
      <c r="G19" s="58">
        <f>'PAICOL-18'!H$14+'PAICOL-18'!H$16+'PAICOL-18'!H$18</f>
        <v>15688750</v>
      </c>
      <c r="H19" s="58">
        <f>'PAICOL-18'!I$14+'PAICOL-18'!I$16+'PAICOL-18'!I$18</f>
        <v>16162600</v>
      </c>
      <c r="I19" s="58">
        <f>'PAICOL-18'!J$14+'PAICOL-18'!J$16+'PAICOL-18'!J$18</f>
        <v>16502500</v>
      </c>
      <c r="J19" s="58">
        <f>'PAICOL-18'!K$14+'PAICOL-18'!K$16+'PAICOL-18'!K$18</f>
        <v>16397605</v>
      </c>
      <c r="K19" s="58">
        <f>'PAICOL-18'!L$14+'PAICOL-18'!L$16+'PAICOL-18'!L$18</f>
        <v>16282614</v>
      </c>
      <c r="L19" s="58">
        <f>'PAICOL-18'!M$14+'PAICOL-18'!M$16+'PAICOL-18'!M$18</f>
        <v>15528181</v>
      </c>
      <c r="M19" s="58">
        <f>'PAICOL-18'!N$14+'PAICOL-18'!N$16+'PAICOL-18'!N$18</f>
        <v>15814750</v>
      </c>
      <c r="N19" s="58">
        <f>'PAICOL-18'!O$14+'PAICOL-18'!O$16+'PAICOL-18'!O$18</f>
        <v>15220250</v>
      </c>
      <c r="O19" s="60">
        <f>SUM(C19:N19)</f>
        <v>189873394</v>
      </c>
      <c r="V19" s="9"/>
      <c r="W19" s="10"/>
      <c r="X19" s="10"/>
    </row>
    <row r="20" spans="1:24" ht="17.25" customHeight="1" x14ac:dyDescent="0.25">
      <c r="A20" s="189"/>
      <c r="B20" s="4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190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Paicol'!$G6</f>
        <v>Entre 80% y 100%</v>
      </c>
      <c r="E22" s="181"/>
      <c r="F22" s="181"/>
      <c r="G22" s="182"/>
      <c r="H22" s="180" t="str">
        <f>'SET SP Paicol'!$H6</f>
        <v>Entre 60% y 79%</v>
      </c>
      <c r="I22" s="181"/>
      <c r="J22" s="181"/>
      <c r="K22" s="182"/>
      <c r="L22" s="180" t="str">
        <f>'SET SP Paicol'!$I6</f>
        <v>Menor al 59%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272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272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272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272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272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20.25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/>
      <c r="O40" s="205"/>
    </row>
    <row r="41" spans="1:17" ht="21" customHeight="1" thickBot="1" x14ac:dyDescent="0.3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4"/>
      <c r="O41" s="205"/>
    </row>
    <row r="42" spans="1:17" ht="7.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0.85</v>
      </c>
    </row>
    <row r="59" spans="17:17" x14ac:dyDescent="0.25">
      <c r="Q59" s="11">
        <v>0.9</v>
      </c>
    </row>
  </sheetData>
  <mergeCells count="74">
    <mergeCell ref="A41:M41"/>
    <mergeCell ref="N41:O41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D1:O1"/>
    <mergeCell ref="D2:O2"/>
    <mergeCell ref="A1:C2"/>
    <mergeCell ref="A3:E3"/>
    <mergeCell ref="F3:O3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42:O42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39:M39"/>
    <mergeCell ref="N39:O39"/>
    <mergeCell ref="A40:M40"/>
    <mergeCell ref="N40:O40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6" zoomScaleSheetLayoutView="72" workbookViewId="0">
      <selection activeCell="A34" sqref="A34:M34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9.85546875" style="3" customWidth="1"/>
    <col min="4" max="4" width="9.5703125" style="3" customWidth="1"/>
    <col min="5" max="5" width="10" style="3" customWidth="1"/>
    <col min="6" max="6" width="8.85546875" style="3" customWidth="1"/>
    <col min="7" max="7" width="9.140625" style="3" customWidth="1"/>
    <col min="8" max="8" width="8.7109375" style="3" customWidth="1"/>
    <col min="9" max="9" width="8.85546875" style="3" customWidth="1"/>
    <col min="10" max="10" width="9" style="3" bestFit="1" customWidth="1"/>
    <col min="11" max="11" width="7.7109375" style="3" customWidth="1"/>
    <col min="12" max="12" width="8.28515625" style="3" customWidth="1"/>
    <col min="13" max="14" width="7.7109375" style="3" customWidth="1"/>
    <col min="15" max="15" width="10.7109375" style="3" customWidth="1"/>
    <col min="16" max="16" width="7.140625" style="3" customWidth="1"/>
    <col min="17" max="18" width="7.140625" style="3" hidden="1" customWidth="1"/>
    <col min="19" max="19" width="7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Paicol'!$B7</f>
        <v>Eficiencia de Recaudo Total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Paicol'!F7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Paicol'!A7</f>
        <v>IN02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47.25" customHeight="1" thickBot="1" x14ac:dyDescent="0.3">
      <c r="A9" s="206" t="str">
        <f>'SET SP Paicol'!$C7</f>
        <v>Medir la eficiencia en el recaudo total de la prestación de los servicios pubicos domiciliarios de Aguas del Huila.</v>
      </c>
      <c r="B9" s="207"/>
      <c r="C9" s="207"/>
      <c r="D9" s="207"/>
      <c r="E9" s="17" t="s">
        <v>35</v>
      </c>
      <c r="F9" s="207" t="str">
        <f>'SET SP Paicol'!$D7</f>
        <v>(Valor  Recaudado  Total Usuario Final / Valor  Facturado TotalUsuario Final) x100%</v>
      </c>
      <c r="G9" s="207"/>
      <c r="H9" s="14">
        <f>$O16</f>
        <v>0.8</v>
      </c>
      <c r="I9" s="28" t="str">
        <f>'SET SP Paicol'!$E7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35.2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41">
        <f t="shared" ref="C15:N15" si="0">$O$15</f>
        <v>0.79</v>
      </c>
      <c r="D15" s="141">
        <f t="shared" si="0"/>
        <v>0.79</v>
      </c>
      <c r="E15" s="141">
        <f t="shared" si="0"/>
        <v>0.79</v>
      </c>
      <c r="F15" s="141">
        <f t="shared" si="0"/>
        <v>0.79</v>
      </c>
      <c r="G15" s="141">
        <f t="shared" si="0"/>
        <v>0.79</v>
      </c>
      <c r="H15" s="141">
        <f t="shared" si="0"/>
        <v>0.79</v>
      </c>
      <c r="I15" s="141">
        <f t="shared" si="0"/>
        <v>0.79</v>
      </c>
      <c r="J15" s="141">
        <f t="shared" si="0"/>
        <v>0.79</v>
      </c>
      <c r="K15" s="141">
        <f t="shared" si="0"/>
        <v>0.79</v>
      </c>
      <c r="L15" s="141">
        <f t="shared" si="0"/>
        <v>0.79</v>
      </c>
      <c r="M15" s="141">
        <f t="shared" si="0"/>
        <v>0.79</v>
      </c>
      <c r="N15" s="141">
        <f t="shared" si="0"/>
        <v>0.79</v>
      </c>
      <c r="O15" s="140">
        <f>'SET SP Paicol'!J7</f>
        <v>0.79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41">
        <f t="shared" ref="C16:N16" si="1">$O$16</f>
        <v>0.8</v>
      </c>
      <c r="D16" s="141">
        <f t="shared" si="1"/>
        <v>0.8</v>
      </c>
      <c r="E16" s="141">
        <f t="shared" si="1"/>
        <v>0.8</v>
      </c>
      <c r="F16" s="141">
        <f t="shared" si="1"/>
        <v>0.8</v>
      </c>
      <c r="G16" s="141">
        <f t="shared" si="1"/>
        <v>0.8</v>
      </c>
      <c r="H16" s="141">
        <f t="shared" si="1"/>
        <v>0.8</v>
      </c>
      <c r="I16" s="141">
        <f t="shared" si="1"/>
        <v>0.8</v>
      </c>
      <c r="J16" s="141">
        <f t="shared" si="1"/>
        <v>0.8</v>
      </c>
      <c r="K16" s="141">
        <f t="shared" si="1"/>
        <v>0.8</v>
      </c>
      <c r="L16" s="141">
        <f t="shared" si="1"/>
        <v>0.8</v>
      </c>
      <c r="M16" s="141">
        <f t="shared" si="1"/>
        <v>0.8</v>
      </c>
      <c r="N16" s="141">
        <f t="shared" si="1"/>
        <v>0.8</v>
      </c>
      <c r="O16" s="140">
        <f>'SET SP Paicol'!K7</f>
        <v>0.8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 t="shared" ref="C17:E17" si="2">IF((C19),C18/C19,"-")</f>
        <v>0.87100698588729975</v>
      </c>
      <c r="D17" s="12">
        <f t="shared" si="2"/>
        <v>0.86409250415001904</v>
      </c>
      <c r="E17" s="12">
        <f t="shared" si="2"/>
        <v>0.8585125289559058</v>
      </c>
      <c r="F17" s="12">
        <f>IF((F19),F18/F19,"-")</f>
        <v>0.87243279786410899</v>
      </c>
      <c r="G17" s="12">
        <f t="shared" ref="G17:O17" si="3">IF((G19),G18/G19,"-")</f>
        <v>0.87057039723155871</v>
      </c>
      <c r="H17" s="12">
        <f t="shared" si="3"/>
        <v>0.87683427635254996</v>
      </c>
      <c r="I17" s="12">
        <f t="shared" si="3"/>
        <v>0.87370124701512342</v>
      </c>
      <c r="J17" s="12">
        <f t="shared" si="3"/>
        <v>0.80657354027023009</v>
      </c>
      <c r="K17" s="12">
        <f t="shared" si="3"/>
        <v>0.87798866499145167</v>
      </c>
      <c r="L17" s="12">
        <f t="shared" si="3"/>
        <v>0.8256247479472274</v>
      </c>
      <c r="M17" s="12">
        <f t="shared" si="3"/>
        <v>0.8162540541678952</v>
      </c>
      <c r="N17" s="12">
        <f t="shared" si="3"/>
        <v>0.85363787473076036</v>
      </c>
      <c r="O17" s="13">
        <f t="shared" si="3"/>
        <v>0.85546332267437242</v>
      </c>
      <c r="V17" s="9"/>
      <c r="W17" s="10"/>
      <c r="X17" s="10"/>
    </row>
    <row r="18" spans="1:24" ht="18.75" customHeight="1" x14ac:dyDescent="0.25">
      <c r="A18" s="189" t="s">
        <v>37</v>
      </c>
      <c r="B18" s="40" t="s">
        <v>134</v>
      </c>
      <c r="C18" s="58">
        <f>'PAICOL-18'!D$27+'PAICOL-18'!D$29+'PAICOL-18'!D$31</f>
        <v>15142500</v>
      </c>
      <c r="D18" s="58">
        <f>'PAICOL-18'!E$27+'PAICOL-18'!E$29+'PAICOL-18'!E$31</f>
        <v>14392800</v>
      </c>
      <c r="E18" s="58">
        <f>'PAICOL-18'!F$27+'PAICOL-18'!F$29+'PAICOL-18'!F$31</f>
        <v>14805950</v>
      </c>
      <c r="F18" s="58">
        <f>'PAICOL-18'!G$27+'PAICOL-18'!G$29+'PAICOL-18'!G$31</f>
        <v>16518250</v>
      </c>
      <c r="G18" s="58">
        <f>'PAICOL-18'!H$27+'PAICOL-18'!H$29+'PAICOL-18'!H$31</f>
        <v>15760850</v>
      </c>
      <c r="H18" s="58">
        <f>'PAICOL-18'!I$27+'PAICOL-18'!I$29+'PAICOL-18'!I$31</f>
        <v>16163300</v>
      </c>
      <c r="I18" s="58">
        <f>'PAICOL-18'!J$27+'PAICOL-18'!J$29+'PAICOL-18'!J$31</f>
        <v>16464900</v>
      </c>
      <c r="J18" s="58">
        <f>'PAICOL-18'!K$27+'PAICOL-18'!K$29+'PAICOL-18'!K$31</f>
        <v>15145600</v>
      </c>
      <c r="K18" s="58">
        <f>'PAICOL-18'!L$27+'PAICOL-18'!L$29+'PAICOL-18'!L$31</f>
        <v>17217550</v>
      </c>
      <c r="L18" s="58">
        <f>'PAICOL-18'!M$27+'PAICOL-18'!M$29+'PAICOL-18'!M$31</f>
        <v>15047300</v>
      </c>
      <c r="M18" s="58">
        <f>'PAICOL-18'!N$27+'PAICOL-18'!N$29+'PAICOL-18'!N$31</f>
        <v>15502950</v>
      </c>
      <c r="N18" s="58">
        <f>'PAICOL-18'!O$27+'PAICOL-18'!O$29+'PAICOL-18'!O$31</f>
        <v>15971650</v>
      </c>
      <c r="O18" s="60">
        <f>SUM(C18:N18)</f>
        <v>188133600</v>
      </c>
      <c r="V18" s="9"/>
      <c r="W18" s="10"/>
      <c r="X18" s="10"/>
    </row>
    <row r="19" spans="1:24" ht="15.75" customHeight="1" x14ac:dyDescent="0.25">
      <c r="A19" s="189"/>
      <c r="B19" s="40" t="s">
        <v>133</v>
      </c>
      <c r="C19" s="58">
        <f>'PAICOL-18'!D$26+'PAICOL-18'!D$28+'PAICOL-18'!D$30</f>
        <v>17385050</v>
      </c>
      <c r="D19" s="58">
        <f>'PAICOL-18'!E$26+'PAICOL-18'!E$28+'PAICOL-18'!E$30</f>
        <v>16656550</v>
      </c>
      <c r="E19" s="58">
        <f>'PAICOL-18'!F$26+'PAICOL-18'!F$28+'PAICOL-18'!F$30</f>
        <v>17246050</v>
      </c>
      <c r="F19" s="58">
        <f>'PAICOL-18'!G$26+'PAICOL-18'!G$28+'PAICOL-18'!G$30</f>
        <v>18933550</v>
      </c>
      <c r="G19" s="58">
        <f>'PAICOL-18'!H$26+'PAICOL-18'!H$28+'PAICOL-18'!H$30</f>
        <v>18104050</v>
      </c>
      <c r="H19" s="58">
        <f>'PAICOL-18'!I$26+'PAICOL-18'!I$28+'PAICOL-18'!I$30</f>
        <v>18433700</v>
      </c>
      <c r="I19" s="58">
        <f>'PAICOL-18'!J$26+'PAICOL-18'!J$28+'PAICOL-18'!J$30</f>
        <v>18845000</v>
      </c>
      <c r="J19" s="58">
        <f>'PAICOL-18'!K$26+'PAICOL-18'!K$28+'PAICOL-18'!K$30</f>
        <v>18777705</v>
      </c>
      <c r="K19" s="58">
        <f>'PAICOL-18'!L$26+'PAICOL-18'!L$28+'PAICOL-18'!L$30</f>
        <v>19610219</v>
      </c>
      <c r="L19" s="58">
        <f>'PAICOL-18'!M$26+'PAICOL-18'!M$28+'PAICOL-18'!M$30</f>
        <v>18225350</v>
      </c>
      <c r="M19" s="58">
        <f>'PAICOL-18'!N$26+'PAICOL-18'!N$28+'PAICOL-18'!N$30</f>
        <v>18992800</v>
      </c>
      <c r="N19" s="58">
        <f>'PAICOL-18'!O$26+'PAICOL-18'!O$28+'PAICOL-18'!O$30</f>
        <v>18710100</v>
      </c>
      <c r="O19" s="60">
        <f>SUM(C19:N19)</f>
        <v>219920124</v>
      </c>
      <c r="V19" s="9"/>
      <c r="W19" s="10"/>
      <c r="X19" s="10"/>
    </row>
    <row r="20" spans="1:24" ht="17.25" customHeight="1" x14ac:dyDescent="0.25">
      <c r="A20" s="189"/>
      <c r="B20" s="78"/>
      <c r="C20" s="58"/>
      <c r="D20" s="58"/>
      <c r="E20" s="58"/>
      <c r="F20" s="58"/>
      <c r="G20" s="58"/>
      <c r="H20" s="58"/>
      <c r="I20" s="58"/>
      <c r="J20" s="58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33" customHeight="1" thickBot="1" x14ac:dyDescent="0.3">
      <c r="A22" s="191" t="s">
        <v>34</v>
      </c>
      <c r="B22" s="192"/>
      <c r="C22" s="193"/>
      <c r="D22" s="270" t="str">
        <f>'SET SP Paicol'!$G7</f>
        <v>Entre 71% y 100%</v>
      </c>
      <c r="E22" s="271"/>
      <c r="F22" s="271"/>
      <c r="G22" s="272"/>
      <c r="H22" s="270" t="str">
        <f>'SET SP Paicol'!$H7</f>
        <v>Entre 60% y 70%</v>
      </c>
      <c r="I22" s="271"/>
      <c r="J22" s="271"/>
      <c r="K22" s="272"/>
      <c r="L22" s="277" t="str">
        <f>'SET SP Paicol'!$I7</f>
        <v>Menor al 59%</v>
      </c>
      <c r="M22" s="278"/>
      <c r="N22" s="278"/>
      <c r="O22" s="279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273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273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273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273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273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24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/>
      <c r="O40" s="205"/>
    </row>
    <row r="41" spans="1:17" ht="22.5" customHeight="1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6.7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44">
        <v>0.73</v>
      </c>
    </row>
    <row r="59" spans="17:17" x14ac:dyDescent="0.25">
      <c r="Q59" s="44">
        <v>0.75</v>
      </c>
    </row>
  </sheetData>
  <mergeCells count="74"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  <mergeCell ref="A31:M31"/>
    <mergeCell ref="N31:O31"/>
    <mergeCell ref="A32:M32"/>
    <mergeCell ref="N32:O32"/>
    <mergeCell ref="A33:M33"/>
    <mergeCell ref="N33:O33"/>
    <mergeCell ref="A28:M28"/>
    <mergeCell ref="N28:O28"/>
    <mergeCell ref="A29:M29"/>
    <mergeCell ref="N29:O29"/>
    <mergeCell ref="A30:M30"/>
    <mergeCell ref="N30:O30"/>
    <mergeCell ref="D1:O1"/>
    <mergeCell ref="D2:O2"/>
    <mergeCell ref="A3:E3"/>
    <mergeCell ref="F3:O3"/>
    <mergeCell ref="A4:E4"/>
    <mergeCell ref="F4:O4"/>
    <mergeCell ref="A1:C2"/>
    <mergeCell ref="I7:I8"/>
    <mergeCell ref="J7:K8"/>
    <mergeCell ref="L7:O7"/>
    <mergeCell ref="L8:M8"/>
    <mergeCell ref="H7:H8"/>
    <mergeCell ref="A9:D9"/>
    <mergeCell ref="F9:G9"/>
    <mergeCell ref="L22:O22"/>
    <mergeCell ref="D23:G23"/>
    <mergeCell ref="H23:K23"/>
    <mergeCell ref="A11:O11"/>
    <mergeCell ref="A14:B14"/>
    <mergeCell ref="L23:O23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42:O42"/>
    <mergeCell ref="A25:O25"/>
    <mergeCell ref="H22:K22"/>
    <mergeCell ref="A22:C23"/>
    <mergeCell ref="D22:G22"/>
    <mergeCell ref="A24:O24"/>
    <mergeCell ref="A41:M41"/>
    <mergeCell ref="N41:O41"/>
    <mergeCell ref="A26:M26"/>
    <mergeCell ref="N26:O26"/>
    <mergeCell ref="N39:O39"/>
    <mergeCell ref="A39:M39"/>
    <mergeCell ref="N40:O40"/>
    <mergeCell ref="A40:M40"/>
    <mergeCell ref="A27:M27"/>
    <mergeCell ref="N27:O2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25" zoomScaleSheetLayoutView="72" workbookViewId="0">
      <selection activeCell="A29" sqref="A29:M32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4" width="9.28515625" style="3" customWidth="1"/>
    <col min="5" max="5" width="10.140625" style="3" customWidth="1"/>
    <col min="6" max="8" width="9" style="3" bestFit="1" customWidth="1"/>
    <col min="9" max="9" width="9.7109375" style="3" customWidth="1"/>
    <col min="10" max="13" width="9.85546875" style="3" bestFit="1" customWidth="1"/>
    <col min="14" max="14" width="9" style="3" customWidth="1"/>
    <col min="15" max="15" width="10.85546875" style="3" customWidth="1"/>
    <col min="16" max="16" width="6" style="3" customWidth="1"/>
    <col min="17" max="18" width="6" style="3" hidden="1" customWidth="1"/>
    <col min="19" max="19" width="6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Paicol'!$B8</f>
        <v xml:space="preserve">Rotación de Cartera 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Paicol'!F8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Paicol'!A8</f>
        <v>IN03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59.25" customHeight="1" thickBot="1" x14ac:dyDescent="0.3">
      <c r="A9" s="281" t="str">
        <f>'SET SP Paicol'!$C8</f>
        <v>Controlar la cartera existentes de servicios publicos por edades con el fin de evaluar la rotación de la misma.</v>
      </c>
      <c r="B9" s="282"/>
      <c r="C9" s="282"/>
      <c r="D9" s="282"/>
      <c r="E9" s="17" t="s">
        <v>113</v>
      </c>
      <c r="F9" s="282" t="str">
        <f>'SET SP Paicol'!$D8</f>
        <v>(Cuentas por Cobrar  a particulares y/o oficiales /  Valor Facturado Usuarios particulares y/o oficiales) x 365</v>
      </c>
      <c r="G9" s="282"/>
      <c r="H9" s="59">
        <f>$O16</f>
        <v>5</v>
      </c>
      <c r="I9" s="36" t="str">
        <f>'SET SP Paicol'!$E8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5"/>
      <c r="X12" s="35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42">
        <f t="shared" ref="C15:N15" si="0">$O$15</f>
        <v>7</v>
      </c>
      <c r="D15" s="142">
        <f t="shared" si="0"/>
        <v>7</v>
      </c>
      <c r="E15" s="142">
        <f t="shared" si="0"/>
        <v>7</v>
      </c>
      <c r="F15" s="142">
        <f t="shared" si="0"/>
        <v>7</v>
      </c>
      <c r="G15" s="142">
        <f t="shared" si="0"/>
        <v>7</v>
      </c>
      <c r="H15" s="142">
        <f t="shared" si="0"/>
        <v>7</v>
      </c>
      <c r="I15" s="142">
        <f t="shared" si="0"/>
        <v>7</v>
      </c>
      <c r="J15" s="142">
        <f t="shared" si="0"/>
        <v>7</v>
      </c>
      <c r="K15" s="142">
        <f t="shared" si="0"/>
        <v>7</v>
      </c>
      <c r="L15" s="142">
        <f t="shared" si="0"/>
        <v>7</v>
      </c>
      <c r="M15" s="142">
        <f t="shared" si="0"/>
        <v>7</v>
      </c>
      <c r="N15" s="142">
        <f t="shared" si="0"/>
        <v>7</v>
      </c>
      <c r="O15" s="143">
        <f>'SET SP Paicol'!J8</f>
        <v>7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42">
        <f t="shared" ref="C16:N16" si="1">$O$16</f>
        <v>5</v>
      </c>
      <c r="D16" s="142">
        <f t="shared" si="1"/>
        <v>5</v>
      </c>
      <c r="E16" s="142">
        <f t="shared" si="1"/>
        <v>5</v>
      </c>
      <c r="F16" s="142">
        <f t="shared" si="1"/>
        <v>5</v>
      </c>
      <c r="G16" s="142">
        <f t="shared" si="1"/>
        <v>5</v>
      </c>
      <c r="H16" s="142">
        <f t="shared" si="1"/>
        <v>5</v>
      </c>
      <c r="I16" s="142">
        <f t="shared" si="1"/>
        <v>5</v>
      </c>
      <c r="J16" s="142">
        <f t="shared" si="1"/>
        <v>5</v>
      </c>
      <c r="K16" s="142">
        <f t="shared" si="1"/>
        <v>5</v>
      </c>
      <c r="L16" s="142">
        <f t="shared" si="1"/>
        <v>5</v>
      </c>
      <c r="M16" s="142">
        <f t="shared" si="1"/>
        <v>5</v>
      </c>
      <c r="N16" s="142">
        <f t="shared" si="1"/>
        <v>5</v>
      </c>
      <c r="O16" s="143">
        <f>'SET SP Paicol'!K8</f>
        <v>5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55">
        <f>IF((C20),(C18/C20)*30,"-")</f>
        <v>4.1056317820748118</v>
      </c>
      <c r="D17" s="55">
        <f>IF((D20),(D18/D20)*60,"-")</f>
        <v>4.4098461857338576</v>
      </c>
      <c r="E17" s="55">
        <f>IF((E20),(E18/E20)*90,"-")</f>
        <v>4.7959622273614855</v>
      </c>
      <c r="F17" s="55">
        <f>IF((F20),(F18/F20)*120,"-")</f>
        <v>4.6540453757059845</v>
      </c>
      <c r="G17" s="55">
        <f>IF((G20),(G18/G20)*150,"-")</f>
        <v>4.5081828752309985</v>
      </c>
      <c r="H17" s="55">
        <f>IF((H20),(H18/H20)*180,"-")</f>
        <v>4.3416857565548277</v>
      </c>
      <c r="I17" s="55">
        <f>IF((I20),(I18/I20)*220,"-")</f>
        <v>4.7330925463125304</v>
      </c>
      <c r="J17" s="55">
        <f>IF((J20),(J18/J20)*250,"-")</f>
        <v>0</v>
      </c>
      <c r="K17" s="55">
        <f>IF((K20),(K18/K20)*280,"-")</f>
        <v>0</v>
      </c>
      <c r="L17" s="55">
        <f>IF((L20),(L18/L20)*310,"-")</f>
        <v>0</v>
      </c>
      <c r="M17" s="55">
        <f>IF((M20),(M18/M20)*330,"-")</f>
        <v>0</v>
      </c>
      <c r="N17" s="55">
        <f>IF((N20),(N18/N20)*365,"-")</f>
        <v>0</v>
      </c>
      <c r="O17" s="56">
        <f t="shared" ref="O17" si="2">IF((O20),(O18/O20)*365,"-")</f>
        <v>2.6200445439975653</v>
      </c>
      <c r="V17" s="9"/>
      <c r="W17" s="10"/>
      <c r="X17" s="10"/>
    </row>
    <row r="18" spans="1:24" ht="24.75" customHeight="1" x14ac:dyDescent="0.25">
      <c r="A18" s="189" t="s">
        <v>37</v>
      </c>
      <c r="B18" s="40" t="s">
        <v>135</v>
      </c>
      <c r="C18" s="58">
        <f>+'PAICOL-18'!D37</f>
        <v>2242550</v>
      </c>
      <c r="D18" s="58">
        <f>+'PAICOL-18'!E37</f>
        <v>2263750</v>
      </c>
      <c r="E18" s="58">
        <f>+'PAICOL-18'!F37</f>
        <v>2440100</v>
      </c>
      <c r="F18" s="58">
        <f>+'PAICOL-18'!G37</f>
        <v>2415300</v>
      </c>
      <c r="G18" s="58">
        <f>+'PAICOL-18'!H37</f>
        <v>2343200</v>
      </c>
      <c r="H18" s="58">
        <f>+'PAICOL-18'!I37</f>
        <v>2270400</v>
      </c>
      <c r="I18" s="58">
        <f>+'PAICOL-18'!J37</f>
        <v>2380100</v>
      </c>
      <c r="J18" s="58">
        <f>+'PAICOL-18'!K37</f>
        <v>0</v>
      </c>
      <c r="K18" s="58">
        <f>+'PAICOL-18'!L37</f>
        <v>0</v>
      </c>
      <c r="L18" s="58">
        <f>+'PAICOL-18'!M37</f>
        <v>0</v>
      </c>
      <c r="M18" s="58">
        <f>+'PAICOL-18'!N37</f>
        <v>0</v>
      </c>
      <c r="N18" s="58">
        <f>+'PAICOL-18'!O37</f>
        <v>0</v>
      </c>
      <c r="O18" s="60">
        <f>AVERAGE(C18:N18)</f>
        <v>1362950</v>
      </c>
      <c r="V18" s="9"/>
      <c r="W18" s="10"/>
      <c r="X18" s="10"/>
    </row>
    <row r="19" spans="1:24" ht="24.75" customHeight="1" x14ac:dyDescent="0.25">
      <c r="A19" s="189"/>
      <c r="B19" s="40" t="s">
        <v>250</v>
      </c>
      <c r="C19" s="58">
        <f>'01'!C19</f>
        <v>16386394</v>
      </c>
      <c r="D19" s="58">
        <f>'01'!D19</f>
        <v>14414000</v>
      </c>
      <c r="E19" s="58">
        <f>'01'!E19</f>
        <v>14990000</v>
      </c>
      <c r="F19" s="58">
        <f>'01'!F19</f>
        <v>16485750</v>
      </c>
      <c r="G19" s="58">
        <f>'01'!G19</f>
        <v>15688750</v>
      </c>
      <c r="H19" s="58">
        <f>'01'!H19</f>
        <v>16162600</v>
      </c>
      <c r="I19" s="58">
        <f>'01'!I19</f>
        <v>16502500</v>
      </c>
      <c r="J19" s="58">
        <f>'01'!J19</f>
        <v>16397605</v>
      </c>
      <c r="K19" s="58">
        <f>'01'!K19</f>
        <v>16282614</v>
      </c>
      <c r="L19" s="58">
        <f>'01'!L19</f>
        <v>15528181</v>
      </c>
      <c r="M19" s="58">
        <f>'01'!M19</f>
        <v>15814750</v>
      </c>
      <c r="N19" s="58">
        <f>'01'!N19</f>
        <v>15220250</v>
      </c>
      <c r="O19" s="60">
        <f>SUM(C19:N19)</f>
        <v>189873394</v>
      </c>
      <c r="V19" s="9"/>
      <c r="W19" s="10"/>
      <c r="X19" s="10"/>
    </row>
    <row r="20" spans="1:24" ht="23.25" customHeight="1" x14ac:dyDescent="0.25">
      <c r="A20" s="189"/>
      <c r="B20" s="40" t="s">
        <v>251</v>
      </c>
      <c r="C20" s="58">
        <f>C19</f>
        <v>16386394</v>
      </c>
      <c r="D20" s="58">
        <f>C20+D19</f>
        <v>30800394</v>
      </c>
      <c r="E20" s="58">
        <f t="shared" ref="E20:J20" si="3">D20+E19</f>
        <v>45790394</v>
      </c>
      <c r="F20" s="58">
        <f t="shared" si="3"/>
        <v>62276144</v>
      </c>
      <c r="G20" s="58">
        <f t="shared" si="3"/>
        <v>77964894</v>
      </c>
      <c r="H20" s="58">
        <f t="shared" si="3"/>
        <v>94127494</v>
      </c>
      <c r="I20" s="58">
        <f t="shared" si="3"/>
        <v>110629994</v>
      </c>
      <c r="J20" s="58">
        <f t="shared" si="3"/>
        <v>127027599</v>
      </c>
      <c r="K20" s="58">
        <f t="shared" ref="K20" si="4">J20+K19</f>
        <v>143310213</v>
      </c>
      <c r="L20" s="58">
        <f t="shared" ref="L20" si="5">K20+L19</f>
        <v>158838394</v>
      </c>
      <c r="M20" s="58">
        <f t="shared" ref="M20" si="6">L20+M19</f>
        <v>174653144</v>
      </c>
      <c r="N20" s="58">
        <f t="shared" ref="N20" si="7">M20+N19</f>
        <v>189873394</v>
      </c>
      <c r="O20" s="60">
        <f>MAX(C20:N20)</f>
        <v>189873394</v>
      </c>
      <c r="V20" s="9"/>
      <c r="W20" s="10"/>
      <c r="X20" s="10"/>
    </row>
    <row r="21" spans="1:24" ht="17.25" customHeight="1" x14ac:dyDescent="0.25">
      <c r="A21" s="189"/>
      <c r="B21" s="7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  <c r="V21" s="9"/>
      <c r="W21" s="10"/>
      <c r="X21" s="10"/>
    </row>
    <row r="22" spans="1:24" ht="18" customHeight="1" thickBot="1" x14ac:dyDescent="0.3">
      <c r="A22" s="190"/>
      <c r="B22" s="80" t="s">
        <v>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0"/>
      <c r="V22" s="9"/>
      <c r="W22" s="10"/>
      <c r="X22" s="10"/>
    </row>
    <row r="23" spans="1:24" ht="14.25" customHeight="1" thickBot="1" x14ac:dyDescent="0.3">
      <c r="A23" s="191" t="s">
        <v>34</v>
      </c>
      <c r="B23" s="192"/>
      <c r="C23" s="193"/>
      <c r="D23" s="180" t="str">
        <f>'SET SP Paicol'!$G8</f>
        <v>Menor a 31 días</v>
      </c>
      <c r="E23" s="181"/>
      <c r="F23" s="181"/>
      <c r="G23" s="182"/>
      <c r="H23" s="180" t="str">
        <f>'SET SP Paicol'!$H8</f>
        <v>Entre 31 y 45 días</v>
      </c>
      <c r="I23" s="181"/>
      <c r="J23" s="181"/>
      <c r="K23" s="182"/>
      <c r="L23" s="180" t="str">
        <f>'SET SP Paicol'!$I8</f>
        <v>Mayor a 45 días</v>
      </c>
      <c r="M23" s="185"/>
      <c r="N23" s="185"/>
      <c r="O23" s="186"/>
      <c r="V23" s="9"/>
      <c r="W23" s="10"/>
      <c r="X23" s="10"/>
    </row>
    <row r="24" spans="1:24" ht="33" customHeight="1" thickBot="1" x14ac:dyDescent="0.3">
      <c r="A24" s="194"/>
      <c r="B24" s="195"/>
      <c r="C24" s="195"/>
      <c r="D24" s="196" t="s">
        <v>7</v>
      </c>
      <c r="E24" s="196"/>
      <c r="F24" s="196"/>
      <c r="G24" s="196"/>
      <c r="H24" s="197" t="s">
        <v>61</v>
      </c>
      <c r="I24" s="197"/>
      <c r="J24" s="197"/>
      <c r="K24" s="197"/>
      <c r="L24" s="211" t="s">
        <v>62</v>
      </c>
      <c r="M24" s="211"/>
      <c r="N24" s="211"/>
      <c r="O24" s="212"/>
      <c r="V24" s="9"/>
      <c r="W24" s="10"/>
      <c r="X24" s="10"/>
    </row>
    <row r="25" spans="1:24" ht="15.75" customHeight="1" thickBot="1" x14ac:dyDescent="0.3">
      <c r="A25" s="213" t="s">
        <v>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V25" s="9"/>
      <c r="W25" s="10"/>
      <c r="X25" s="10"/>
    </row>
    <row r="26" spans="1:24" ht="264.75" customHeight="1" thickBot="1" x14ac:dyDescent="0.3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9"/>
      <c r="V26" s="9"/>
    </row>
    <row r="27" spans="1:24" ht="15" customHeight="1" x14ac:dyDescent="0.25">
      <c r="A27" s="198" t="s">
        <v>58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 t="s">
        <v>60</v>
      </c>
      <c r="O27" s="201"/>
    </row>
    <row r="28" spans="1:24" ht="15" customHeight="1" x14ac:dyDescent="0.25">
      <c r="A28" s="202" t="s">
        <v>274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43101</v>
      </c>
      <c r="O28" s="242"/>
    </row>
    <row r="29" spans="1:24" ht="15" customHeight="1" x14ac:dyDescent="0.25">
      <c r="A29" s="202" t="s">
        <v>274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43132</v>
      </c>
      <c r="O29" s="242"/>
    </row>
    <row r="30" spans="1:24" ht="15" customHeight="1" x14ac:dyDescent="0.25">
      <c r="A30" s="202" t="s">
        <v>274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43160</v>
      </c>
      <c r="O30" s="242"/>
    </row>
    <row r="31" spans="1:24" ht="15" customHeight="1" x14ac:dyDescent="0.25">
      <c r="A31" s="202" t="s">
        <v>274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43191</v>
      </c>
      <c r="O31" s="242"/>
    </row>
    <row r="32" spans="1:24" ht="15" customHeight="1" x14ac:dyDescent="0.25">
      <c r="A32" s="202" t="s">
        <v>274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43221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43252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43282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43313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43344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43374</v>
      </c>
      <c r="O37" s="242"/>
    </row>
    <row r="38" spans="1:17" ht="15" customHeight="1" x14ac:dyDescent="0.2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43405</v>
      </c>
      <c r="O38" s="242"/>
    </row>
    <row r="39" spans="1:17" ht="15" customHeight="1" thickBot="1" x14ac:dyDescent="0.3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41">
        <v>43435</v>
      </c>
      <c r="O39" s="242"/>
    </row>
    <row r="40" spans="1:17" ht="19.5" customHeight="1" x14ac:dyDescent="0.25">
      <c r="A40" s="198" t="s">
        <v>59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 t="s">
        <v>60</v>
      </c>
      <c r="O40" s="201"/>
    </row>
    <row r="41" spans="1:17" ht="15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4"/>
      <c r="O41" s="205"/>
    </row>
    <row r="42" spans="1:17" ht="15.75" thickBot="1" x14ac:dyDescent="0.3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5"/>
    </row>
    <row r="43" spans="1:17" ht="5.25" customHeight="1" x14ac:dyDescent="0.2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</row>
    <row r="45" spans="1:17" ht="14.25" x14ac:dyDescent="0.2">
      <c r="Q45" s="49" t="s">
        <v>81</v>
      </c>
    </row>
    <row r="46" spans="1:17" ht="14.25" x14ac:dyDescent="0.2">
      <c r="Q46" s="49" t="s">
        <v>82</v>
      </c>
    </row>
    <row r="47" spans="1:17" ht="14.25" x14ac:dyDescent="0.2">
      <c r="Q47" s="49" t="s">
        <v>83</v>
      </c>
    </row>
    <row r="48" spans="1:17" ht="14.25" x14ac:dyDescent="0.2">
      <c r="Q48" s="49" t="s">
        <v>84</v>
      </c>
    </row>
    <row r="49" spans="17:17" ht="14.25" x14ac:dyDescent="0.2">
      <c r="Q49" s="49" t="s">
        <v>85</v>
      </c>
    </row>
    <row r="50" spans="17:17" ht="14.25" x14ac:dyDescent="0.2">
      <c r="Q50" s="49" t="s">
        <v>86</v>
      </c>
    </row>
    <row r="51" spans="17:17" ht="14.25" x14ac:dyDescent="0.2">
      <c r="Q51" s="49" t="s">
        <v>87</v>
      </c>
    </row>
    <row r="52" spans="17:17" ht="14.25" x14ac:dyDescent="0.2">
      <c r="Q52" s="49" t="s">
        <v>88</v>
      </c>
    </row>
    <row r="53" spans="17:17" ht="14.25" x14ac:dyDescent="0.2">
      <c r="Q53" s="49" t="s">
        <v>89</v>
      </c>
    </row>
    <row r="54" spans="17:17" ht="14.25" x14ac:dyDescent="0.2">
      <c r="Q54" s="49" t="s">
        <v>90</v>
      </c>
    </row>
    <row r="55" spans="17:17" ht="14.25" x14ac:dyDescent="0.2">
      <c r="Q55" s="49" t="s">
        <v>91</v>
      </c>
    </row>
    <row r="56" spans="17:17" ht="14.25" x14ac:dyDescent="0.2">
      <c r="Q56" s="49" t="s">
        <v>92</v>
      </c>
    </row>
    <row r="57" spans="17:17" ht="14.25" x14ac:dyDescent="0.2">
      <c r="Q57" s="49" t="s">
        <v>93</v>
      </c>
    </row>
    <row r="59" spans="17:17" x14ac:dyDescent="0.25">
      <c r="Q59" s="52">
        <v>32</v>
      </c>
    </row>
    <row r="60" spans="17:17" x14ac:dyDescent="0.25">
      <c r="Q60" s="52">
        <v>30</v>
      </c>
    </row>
  </sheetData>
  <mergeCells count="74">
    <mergeCell ref="A35:M35"/>
    <mergeCell ref="N35:O35"/>
    <mergeCell ref="A39:M39"/>
    <mergeCell ref="N39:O39"/>
    <mergeCell ref="A36:M36"/>
    <mergeCell ref="N36:O36"/>
    <mergeCell ref="A37:M37"/>
    <mergeCell ref="N37:O37"/>
    <mergeCell ref="A38:M38"/>
    <mergeCell ref="N38:O38"/>
    <mergeCell ref="A32:M32"/>
    <mergeCell ref="N32:O32"/>
    <mergeCell ref="A33:M33"/>
    <mergeCell ref="N33:O33"/>
    <mergeCell ref="A34:M34"/>
    <mergeCell ref="N34:O34"/>
    <mergeCell ref="A42:M42"/>
    <mergeCell ref="N42:O42"/>
    <mergeCell ref="A27:M27"/>
    <mergeCell ref="N27:O27"/>
    <mergeCell ref="A40:M40"/>
    <mergeCell ref="N40:O40"/>
    <mergeCell ref="A41:M41"/>
    <mergeCell ref="N41:O41"/>
    <mergeCell ref="A28:M28"/>
    <mergeCell ref="N28:O28"/>
    <mergeCell ref="A29:M29"/>
    <mergeCell ref="N29:O29"/>
    <mergeCell ref="A30:M30"/>
    <mergeCell ref="N30:O30"/>
    <mergeCell ref="A31:M31"/>
    <mergeCell ref="N31:O31"/>
    <mergeCell ref="J9:O9"/>
    <mergeCell ref="A10:O10"/>
    <mergeCell ref="A11:O11"/>
    <mergeCell ref="A12:O12"/>
    <mergeCell ref="A13:O13"/>
    <mergeCell ref="A16:B16"/>
    <mergeCell ref="A17:B17"/>
    <mergeCell ref="A18:A22"/>
    <mergeCell ref="A15:B15"/>
    <mergeCell ref="D23:G23"/>
    <mergeCell ref="D24:G24"/>
    <mergeCell ref="H24:K24"/>
    <mergeCell ref="L24:O24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3:O23"/>
    <mergeCell ref="A43:O43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5:O25"/>
    <mergeCell ref="A26:O26"/>
    <mergeCell ref="H23:K23"/>
    <mergeCell ref="A23:C24"/>
  </mergeCells>
  <dataValidations count="1">
    <dataValidation type="list" allowBlank="1" showInputMessage="1" showErrorMessage="1" sqref="J9:O9">
      <formula1>$Q$45:$Q$57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0"/>
  <sheetViews>
    <sheetView topLeftCell="A31" zoomScaleSheetLayoutView="72" workbookViewId="0">
      <selection activeCell="A30" sqref="A30:M32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9" style="3" bestFit="1" customWidth="1"/>
    <col min="4" max="4" width="10.140625" style="3" bestFit="1" customWidth="1"/>
    <col min="5" max="5" width="9.5703125" style="3" customWidth="1"/>
    <col min="6" max="8" width="9" style="3" bestFit="1" customWidth="1"/>
    <col min="9" max="9" width="8.85546875" style="3" customWidth="1"/>
    <col min="10" max="14" width="9" style="3" bestFit="1" customWidth="1"/>
    <col min="15" max="15" width="9.140625" style="3" bestFit="1" customWidth="1"/>
    <col min="16" max="16" width="9.140625" style="3" customWidth="1"/>
    <col min="17" max="18" width="9.140625" style="3" hidden="1" customWidth="1"/>
    <col min="19" max="19" width="9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Paicol'!$B9</f>
        <v>Ejecución de inversiones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Paicol'!F9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Paicol'!A9</f>
        <v>IN04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36.75" customHeight="1" thickBot="1" x14ac:dyDescent="0.3">
      <c r="A9" s="206" t="str">
        <f>'SET SP Paicol'!$C9</f>
        <v>Realizar el seguimiento a la ejecución de la inversión establecida para la vigencia fiscal respectiva.</v>
      </c>
      <c r="B9" s="207"/>
      <c r="C9" s="207"/>
      <c r="D9" s="207"/>
      <c r="E9" s="17" t="s">
        <v>35</v>
      </c>
      <c r="F9" s="207" t="str">
        <f>'SET SP Paicol'!$D9</f>
        <v xml:space="preserve">(Inversión realizada / Inversión presupuestada) x 100% </v>
      </c>
      <c r="G9" s="207"/>
      <c r="H9" s="39">
        <f>$O16</f>
        <v>1</v>
      </c>
      <c r="I9" s="36" t="str">
        <f>'SET SP Paicol'!$E9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35"/>
      <c r="X12" s="35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41">
        <f t="shared" ref="C15:N15" si="0">$O$15</f>
        <v>0.92</v>
      </c>
      <c r="D15" s="141">
        <f t="shared" si="0"/>
        <v>0.92</v>
      </c>
      <c r="E15" s="141">
        <f t="shared" si="0"/>
        <v>0.92</v>
      </c>
      <c r="F15" s="141">
        <f t="shared" si="0"/>
        <v>0.92</v>
      </c>
      <c r="G15" s="141">
        <f t="shared" si="0"/>
        <v>0.92</v>
      </c>
      <c r="H15" s="141">
        <f t="shared" si="0"/>
        <v>0.92</v>
      </c>
      <c r="I15" s="141">
        <f t="shared" si="0"/>
        <v>0.92</v>
      </c>
      <c r="J15" s="141">
        <f t="shared" si="0"/>
        <v>0.92</v>
      </c>
      <c r="K15" s="141">
        <f t="shared" si="0"/>
        <v>0.92</v>
      </c>
      <c r="L15" s="141">
        <f t="shared" si="0"/>
        <v>0.92</v>
      </c>
      <c r="M15" s="141">
        <f t="shared" si="0"/>
        <v>0.92</v>
      </c>
      <c r="N15" s="141">
        <f t="shared" si="0"/>
        <v>0.92</v>
      </c>
      <c r="O15" s="144">
        <f>'SET SP Paicol'!J9</f>
        <v>0.92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41">
        <f t="shared" ref="C16:N16" si="1">$O$16</f>
        <v>1</v>
      </c>
      <c r="D16" s="141">
        <f t="shared" si="1"/>
        <v>1</v>
      </c>
      <c r="E16" s="141">
        <f t="shared" si="1"/>
        <v>1</v>
      </c>
      <c r="F16" s="141">
        <f t="shared" si="1"/>
        <v>1</v>
      </c>
      <c r="G16" s="141">
        <f t="shared" si="1"/>
        <v>1</v>
      </c>
      <c r="H16" s="141">
        <f t="shared" si="1"/>
        <v>1</v>
      </c>
      <c r="I16" s="141">
        <f t="shared" si="1"/>
        <v>1</v>
      </c>
      <c r="J16" s="141">
        <f t="shared" si="1"/>
        <v>1</v>
      </c>
      <c r="K16" s="141">
        <f t="shared" si="1"/>
        <v>1</v>
      </c>
      <c r="L16" s="141">
        <f t="shared" si="1"/>
        <v>1</v>
      </c>
      <c r="M16" s="141">
        <f t="shared" si="1"/>
        <v>1</v>
      </c>
      <c r="N16" s="141">
        <f t="shared" si="1"/>
        <v>1</v>
      </c>
      <c r="O16" s="144">
        <f>'SET SP Paicol'!K9</f>
        <v>1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 t="str">
        <f t="shared" ref="C17:O17" si="2">IF((C20),C19/C20,"-")</f>
        <v>-</v>
      </c>
      <c r="D17" s="12" t="str">
        <f t="shared" si="2"/>
        <v>-</v>
      </c>
      <c r="E17" s="12" t="str">
        <f t="shared" si="2"/>
        <v>-</v>
      </c>
      <c r="F17" s="12" t="str">
        <f t="shared" si="2"/>
        <v>-</v>
      </c>
      <c r="G17" s="12" t="str">
        <f t="shared" si="2"/>
        <v>-</v>
      </c>
      <c r="H17" s="12" t="str">
        <f t="shared" si="2"/>
        <v>-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 t="str">
        <f t="shared" si="2"/>
        <v>-</v>
      </c>
      <c r="V17" s="9"/>
      <c r="W17" s="10"/>
      <c r="X17" s="10"/>
    </row>
    <row r="18" spans="1:24" ht="17.25" customHeight="1" x14ac:dyDescent="0.25">
      <c r="A18" s="189" t="s">
        <v>37</v>
      </c>
      <c r="B18" s="40" t="s">
        <v>172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58">
        <v>0</v>
      </c>
      <c r="I18" s="58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60">
        <f>SUM(C18:N18)</f>
        <v>0</v>
      </c>
      <c r="V18" s="9"/>
      <c r="W18" s="10"/>
      <c r="X18" s="10"/>
    </row>
    <row r="19" spans="1:24" ht="17.25" customHeight="1" x14ac:dyDescent="0.25">
      <c r="A19" s="189"/>
      <c r="B19" s="40" t="s">
        <v>173</v>
      </c>
      <c r="C19" s="58">
        <f>C18</f>
        <v>0</v>
      </c>
      <c r="D19" s="58">
        <f>C19+D18</f>
        <v>0</v>
      </c>
      <c r="E19" s="58">
        <f t="shared" ref="E19:J19" si="3">D19+E18</f>
        <v>0</v>
      </c>
      <c r="F19" s="58">
        <f t="shared" si="3"/>
        <v>0</v>
      </c>
      <c r="G19" s="58">
        <f t="shared" si="3"/>
        <v>0</v>
      </c>
      <c r="H19" s="58">
        <f t="shared" si="3"/>
        <v>0</v>
      </c>
      <c r="I19" s="58">
        <f t="shared" si="3"/>
        <v>0</v>
      </c>
      <c r="J19" s="58">
        <f t="shared" si="3"/>
        <v>0</v>
      </c>
      <c r="K19" s="58">
        <f t="shared" ref="K19" si="4">J19+K18</f>
        <v>0</v>
      </c>
      <c r="L19" s="58">
        <f t="shared" ref="L19" si="5">K19+L18</f>
        <v>0</v>
      </c>
      <c r="M19" s="58">
        <f t="shared" ref="M19" si="6">L19+M18</f>
        <v>0</v>
      </c>
      <c r="N19" s="58">
        <f t="shared" ref="N19" si="7">M19+N18</f>
        <v>0</v>
      </c>
      <c r="O19" s="60">
        <f>MAX(C19:N19)</f>
        <v>0</v>
      </c>
      <c r="V19" s="9"/>
      <c r="W19" s="10"/>
      <c r="X19" s="10"/>
    </row>
    <row r="20" spans="1:24" ht="13.5" customHeight="1" x14ac:dyDescent="0.25">
      <c r="A20" s="189"/>
      <c r="B20" s="40" t="s">
        <v>136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60">
        <f>MAX(C20:N20)</f>
        <v>0</v>
      </c>
      <c r="V20" s="9"/>
      <c r="W20" s="10"/>
      <c r="X20" s="10"/>
    </row>
    <row r="21" spans="1:24" ht="17.25" customHeight="1" x14ac:dyDescent="0.25">
      <c r="A21" s="189"/>
      <c r="B21" s="7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  <c r="V21" s="9"/>
      <c r="W21" s="10"/>
      <c r="X21" s="10"/>
    </row>
    <row r="22" spans="1:24" ht="18" customHeight="1" thickBot="1" x14ac:dyDescent="0.3">
      <c r="A22" s="190"/>
      <c r="B22" s="80" t="s">
        <v>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0"/>
      <c r="V22" s="9"/>
      <c r="W22" s="10"/>
      <c r="X22" s="10"/>
    </row>
    <row r="23" spans="1:24" ht="14.25" customHeight="1" thickBot="1" x14ac:dyDescent="0.3">
      <c r="A23" s="191" t="s">
        <v>34</v>
      </c>
      <c r="B23" s="192"/>
      <c r="C23" s="193"/>
      <c r="D23" s="180" t="str">
        <f>'SET SP Paicol'!$G9</f>
        <v>Entre 80% y 100%</v>
      </c>
      <c r="E23" s="181"/>
      <c r="F23" s="181"/>
      <c r="G23" s="182"/>
      <c r="H23" s="180" t="str">
        <f>'SET SP Paicol'!$H9</f>
        <v>Entre 60% y 79%</v>
      </c>
      <c r="I23" s="181"/>
      <c r="J23" s="181"/>
      <c r="K23" s="182"/>
      <c r="L23" s="180" t="str">
        <f>'SET SP Paicol'!$I9</f>
        <v>Menor al 59%</v>
      </c>
      <c r="M23" s="185"/>
      <c r="N23" s="185"/>
      <c r="O23" s="186"/>
      <c r="V23" s="9"/>
      <c r="W23" s="10"/>
      <c r="X23" s="10"/>
    </row>
    <row r="24" spans="1:24" ht="33" customHeight="1" thickBot="1" x14ac:dyDescent="0.3">
      <c r="A24" s="194"/>
      <c r="B24" s="195"/>
      <c r="C24" s="195"/>
      <c r="D24" s="196" t="s">
        <v>7</v>
      </c>
      <c r="E24" s="196"/>
      <c r="F24" s="196"/>
      <c r="G24" s="196"/>
      <c r="H24" s="197" t="s">
        <v>61</v>
      </c>
      <c r="I24" s="197"/>
      <c r="J24" s="197"/>
      <c r="K24" s="197"/>
      <c r="L24" s="211" t="s">
        <v>62</v>
      </c>
      <c r="M24" s="211"/>
      <c r="N24" s="211"/>
      <c r="O24" s="212"/>
      <c r="V24" s="9"/>
      <c r="W24" s="10"/>
      <c r="X24" s="10"/>
    </row>
    <row r="25" spans="1:24" ht="15.75" customHeight="1" thickBot="1" x14ac:dyDescent="0.3">
      <c r="A25" s="213" t="s">
        <v>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V25" s="9"/>
      <c r="W25" s="10"/>
      <c r="X25" s="10"/>
    </row>
    <row r="26" spans="1:24" ht="264.75" customHeight="1" thickBot="1" x14ac:dyDescent="0.3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9"/>
      <c r="V26" s="9"/>
    </row>
    <row r="27" spans="1:24" ht="15" customHeight="1" x14ac:dyDescent="0.25">
      <c r="A27" s="198" t="s">
        <v>58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 t="s">
        <v>60</v>
      </c>
      <c r="O27" s="201"/>
    </row>
    <row r="28" spans="1:24" ht="15" customHeight="1" x14ac:dyDescent="0.25">
      <c r="A28" s="202" t="s">
        <v>275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43101</v>
      </c>
      <c r="O28" s="242"/>
    </row>
    <row r="29" spans="1:24" ht="15" customHeight="1" x14ac:dyDescent="0.25">
      <c r="A29" s="202" t="s">
        <v>276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43132</v>
      </c>
      <c r="O29" s="242"/>
    </row>
    <row r="30" spans="1:24" ht="15" customHeight="1" x14ac:dyDescent="0.25">
      <c r="A30" s="202" t="s">
        <v>276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43160</v>
      </c>
      <c r="O30" s="242"/>
    </row>
    <row r="31" spans="1:24" ht="15" customHeight="1" x14ac:dyDescent="0.25">
      <c r="A31" s="202" t="s">
        <v>276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43191</v>
      </c>
      <c r="O31" s="242"/>
    </row>
    <row r="32" spans="1:24" ht="15" customHeight="1" x14ac:dyDescent="0.25">
      <c r="A32" s="202" t="s">
        <v>276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43221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43252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43282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43313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43344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43374</v>
      </c>
      <c r="O37" s="242"/>
    </row>
    <row r="38" spans="1:17" ht="15" customHeight="1" x14ac:dyDescent="0.2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43405</v>
      </c>
      <c r="O38" s="242"/>
    </row>
    <row r="39" spans="1:17" ht="15" customHeight="1" thickBot="1" x14ac:dyDescent="0.3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41">
        <v>43435</v>
      </c>
      <c r="O39" s="242"/>
    </row>
    <row r="40" spans="1:17" ht="19.5" customHeight="1" x14ac:dyDescent="0.25">
      <c r="A40" s="198" t="s">
        <v>59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 t="s">
        <v>60</v>
      </c>
      <c r="O40" s="201"/>
    </row>
    <row r="41" spans="1:17" ht="14.2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41"/>
      <c r="O41" s="242"/>
    </row>
    <row r="42" spans="1:17" ht="15.75" thickBot="1" x14ac:dyDescent="0.3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5"/>
    </row>
    <row r="43" spans="1:17" ht="5.25" customHeight="1" x14ac:dyDescent="0.2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</row>
    <row r="45" spans="1:17" ht="14.25" x14ac:dyDescent="0.2">
      <c r="Q45" s="49" t="s">
        <v>81</v>
      </c>
    </row>
    <row r="46" spans="1:17" ht="14.25" x14ac:dyDescent="0.2">
      <c r="Q46" s="49" t="s">
        <v>82</v>
      </c>
    </row>
    <row r="47" spans="1:17" ht="14.25" x14ac:dyDescent="0.2">
      <c r="Q47" s="49" t="s">
        <v>83</v>
      </c>
    </row>
    <row r="48" spans="1:17" ht="14.25" x14ac:dyDescent="0.2">
      <c r="Q48" s="49" t="s">
        <v>84</v>
      </c>
    </row>
    <row r="49" spans="17:17" ht="14.25" x14ac:dyDescent="0.2">
      <c r="Q49" s="49" t="s">
        <v>85</v>
      </c>
    </row>
    <row r="50" spans="17:17" ht="14.25" x14ac:dyDescent="0.2">
      <c r="Q50" s="49" t="s">
        <v>86</v>
      </c>
    </row>
    <row r="51" spans="17:17" ht="14.25" x14ac:dyDescent="0.2">
      <c r="Q51" s="49" t="s">
        <v>87</v>
      </c>
    </row>
    <row r="52" spans="17:17" ht="14.25" x14ac:dyDescent="0.2">
      <c r="Q52" s="49" t="s">
        <v>88</v>
      </c>
    </row>
    <row r="53" spans="17:17" ht="14.25" x14ac:dyDescent="0.2">
      <c r="Q53" s="49" t="s">
        <v>89</v>
      </c>
    </row>
    <row r="54" spans="17:17" ht="14.25" x14ac:dyDescent="0.2">
      <c r="Q54" s="49" t="s">
        <v>90</v>
      </c>
    </row>
    <row r="55" spans="17:17" ht="14.25" x14ac:dyDescent="0.2">
      <c r="Q55" s="49" t="s">
        <v>91</v>
      </c>
    </row>
    <row r="56" spans="17:17" ht="14.25" x14ac:dyDescent="0.2">
      <c r="Q56" s="49" t="s">
        <v>92</v>
      </c>
    </row>
    <row r="57" spans="17:17" ht="14.25" x14ac:dyDescent="0.2">
      <c r="Q57" s="49" t="s">
        <v>93</v>
      </c>
    </row>
    <row r="59" spans="17:17" x14ac:dyDescent="0.25">
      <c r="Q59" s="44">
        <v>0.92</v>
      </c>
    </row>
    <row r="60" spans="17:17" x14ac:dyDescent="0.25">
      <c r="Q60" s="44">
        <v>1</v>
      </c>
    </row>
  </sheetData>
  <mergeCells count="74">
    <mergeCell ref="A35:M35"/>
    <mergeCell ref="N35:O35"/>
    <mergeCell ref="A39:M39"/>
    <mergeCell ref="N39:O39"/>
    <mergeCell ref="A36:M36"/>
    <mergeCell ref="N36:O36"/>
    <mergeCell ref="A37:M37"/>
    <mergeCell ref="N37:O37"/>
    <mergeCell ref="A38:M38"/>
    <mergeCell ref="N38:O38"/>
    <mergeCell ref="A32:M32"/>
    <mergeCell ref="N32:O32"/>
    <mergeCell ref="A33:M33"/>
    <mergeCell ref="N33:O33"/>
    <mergeCell ref="A34:M34"/>
    <mergeCell ref="N34:O34"/>
    <mergeCell ref="A42:M42"/>
    <mergeCell ref="N42:O42"/>
    <mergeCell ref="A27:M27"/>
    <mergeCell ref="N27:O27"/>
    <mergeCell ref="A40:M40"/>
    <mergeCell ref="N40:O40"/>
    <mergeCell ref="A41:M41"/>
    <mergeCell ref="N41:O41"/>
    <mergeCell ref="A28:M28"/>
    <mergeCell ref="N28:O28"/>
    <mergeCell ref="A29:M29"/>
    <mergeCell ref="N29:O29"/>
    <mergeCell ref="A30:M30"/>
    <mergeCell ref="N30:O30"/>
    <mergeCell ref="A31:M31"/>
    <mergeCell ref="N31:O31"/>
    <mergeCell ref="J9:O9"/>
    <mergeCell ref="A10:O10"/>
    <mergeCell ref="A11:O11"/>
    <mergeCell ref="A12:O12"/>
    <mergeCell ref="A13:O13"/>
    <mergeCell ref="A16:B16"/>
    <mergeCell ref="A17:B17"/>
    <mergeCell ref="A18:A22"/>
    <mergeCell ref="A15:B15"/>
    <mergeCell ref="D23:G23"/>
    <mergeCell ref="D24:G24"/>
    <mergeCell ref="H24:K24"/>
    <mergeCell ref="L24:O24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3:O23"/>
    <mergeCell ref="A43:O43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5:O25"/>
    <mergeCell ref="A26:O26"/>
    <mergeCell ref="H23:K23"/>
    <mergeCell ref="A23:C24"/>
  </mergeCells>
  <dataValidations count="1">
    <dataValidation type="list" allowBlank="1" showInputMessage="1" showErrorMessage="1" sqref="J9:O9">
      <formula1>$Q$45:$Q$57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5" zoomScaleSheetLayoutView="72" workbookViewId="0">
      <selection activeCell="A31" sqref="A31:M31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42578125" style="3" customWidth="1"/>
    <col min="17" max="18" width="6.42578125" style="3" hidden="1" customWidth="1"/>
    <col min="19" max="19" width="6.425781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Paicol'!$B10</f>
        <v>Cobertura   (Acueducto)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Paicol'!F10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Paicol'!A10</f>
        <v>IN05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57.75" customHeight="1" thickBot="1" x14ac:dyDescent="0.3">
      <c r="A9" s="206" t="str">
        <f>'SET SP Paicol'!$C10</f>
        <v xml:space="preserve">Medir el grado de cobertura en   la prestación del servicio de acueducto administrado por Aguas del Huila. </v>
      </c>
      <c r="B9" s="207"/>
      <c r="C9" s="207"/>
      <c r="D9" s="207"/>
      <c r="E9" s="17" t="s">
        <v>35</v>
      </c>
      <c r="F9" s="207" t="str">
        <f>'SET SP Paicol'!$D10</f>
        <v xml:space="preserve">(Número de Suscriptores servicio de acueducto / Número de Domicilios) x 100% </v>
      </c>
      <c r="G9" s="207"/>
      <c r="H9" s="14">
        <f>$O16</f>
        <v>1</v>
      </c>
      <c r="I9" s="37" t="str">
        <f>'SET SP Paicol'!$E10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39">
        <f t="shared" ref="C15:N15" si="0">$O$15</f>
        <v>0.99</v>
      </c>
      <c r="D15" s="139">
        <f t="shared" si="0"/>
        <v>0.99</v>
      </c>
      <c r="E15" s="139">
        <f t="shared" si="0"/>
        <v>0.99</v>
      </c>
      <c r="F15" s="139">
        <f t="shared" si="0"/>
        <v>0.99</v>
      </c>
      <c r="G15" s="139">
        <f t="shared" si="0"/>
        <v>0.99</v>
      </c>
      <c r="H15" s="139">
        <f t="shared" si="0"/>
        <v>0.99</v>
      </c>
      <c r="I15" s="139">
        <f t="shared" si="0"/>
        <v>0.99</v>
      </c>
      <c r="J15" s="139">
        <f t="shared" si="0"/>
        <v>0.99</v>
      </c>
      <c r="K15" s="139">
        <f t="shared" si="0"/>
        <v>0.99</v>
      </c>
      <c r="L15" s="139">
        <f t="shared" si="0"/>
        <v>0.99</v>
      </c>
      <c r="M15" s="139">
        <f t="shared" si="0"/>
        <v>0.99</v>
      </c>
      <c r="N15" s="139">
        <f t="shared" si="0"/>
        <v>0.99</v>
      </c>
      <c r="O15" s="145">
        <f>'SET SP Paicol'!J10</f>
        <v>0.99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39">
        <f t="shared" ref="C16:N16" si="1">$O$16</f>
        <v>1</v>
      </c>
      <c r="D16" s="139">
        <f t="shared" si="1"/>
        <v>1</v>
      </c>
      <c r="E16" s="139">
        <f t="shared" si="1"/>
        <v>1</v>
      </c>
      <c r="F16" s="139">
        <f t="shared" si="1"/>
        <v>1</v>
      </c>
      <c r="G16" s="139">
        <f t="shared" si="1"/>
        <v>1</v>
      </c>
      <c r="H16" s="139">
        <f t="shared" si="1"/>
        <v>1</v>
      </c>
      <c r="I16" s="139">
        <f t="shared" si="1"/>
        <v>1</v>
      </c>
      <c r="J16" s="139">
        <f t="shared" si="1"/>
        <v>1</v>
      </c>
      <c r="K16" s="139">
        <f t="shared" si="1"/>
        <v>1</v>
      </c>
      <c r="L16" s="139">
        <f t="shared" si="1"/>
        <v>1</v>
      </c>
      <c r="M16" s="139">
        <f t="shared" si="1"/>
        <v>1</v>
      </c>
      <c r="N16" s="139">
        <f t="shared" si="1"/>
        <v>1</v>
      </c>
      <c r="O16" s="145">
        <f>'SET SP Paicol'!K10</f>
        <v>1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 t="shared" ref="C17:E17" si="2">IF((C19),C18/C19,"-")</f>
        <v>0.99582898852971846</v>
      </c>
      <c r="D17" s="12">
        <f t="shared" si="2"/>
        <v>0.99583766909469307</v>
      </c>
      <c r="E17" s="12">
        <f t="shared" si="2"/>
        <v>0.99584199584199584</v>
      </c>
      <c r="F17" s="12">
        <f>IF((F19),F18/F19,"-")</f>
        <v>0.99585492227979278</v>
      </c>
      <c r="G17" s="12">
        <f t="shared" ref="G17:O17" si="3">IF((G19),G18/G19,"-")</f>
        <v>0.9927835051546392</v>
      </c>
      <c r="H17" s="12">
        <f t="shared" si="3"/>
        <v>0.9927909371781668</v>
      </c>
      <c r="I17" s="12">
        <f t="shared" si="3"/>
        <v>0.9927835051546392</v>
      </c>
      <c r="J17" s="12">
        <f t="shared" si="3"/>
        <v>0.9928057553956835</v>
      </c>
      <c r="K17" s="12">
        <f t="shared" si="3"/>
        <v>0.99282051282051287</v>
      </c>
      <c r="L17" s="12">
        <f t="shared" si="3"/>
        <v>0.99282051282051287</v>
      </c>
      <c r="M17" s="12">
        <f t="shared" si="3"/>
        <v>0.99282051282051287</v>
      </c>
      <c r="N17" s="12">
        <f t="shared" si="3"/>
        <v>0.99282786885245899</v>
      </c>
      <c r="O17" s="13">
        <f t="shared" si="3"/>
        <v>0.99381017881705636</v>
      </c>
      <c r="V17" s="9"/>
      <c r="W17" s="10"/>
      <c r="X17" s="10"/>
    </row>
    <row r="18" spans="1:24" ht="21" customHeight="1" x14ac:dyDescent="0.25">
      <c r="A18" s="189" t="s">
        <v>37</v>
      </c>
      <c r="B18" s="40" t="s">
        <v>259</v>
      </c>
      <c r="C18" s="23">
        <f>'PAICOL-18'!D$6</f>
        <v>955</v>
      </c>
      <c r="D18" s="23">
        <f>'PAICOL-18'!E$6</f>
        <v>957</v>
      </c>
      <c r="E18" s="23">
        <f>'PAICOL-18'!F$6</f>
        <v>958</v>
      </c>
      <c r="F18" s="23">
        <f>'PAICOL-18'!G$6</f>
        <v>961</v>
      </c>
      <c r="G18" s="23">
        <f>'PAICOL-18'!H$6</f>
        <v>963</v>
      </c>
      <c r="H18" s="23">
        <f>'PAICOL-18'!I$6</f>
        <v>964</v>
      </c>
      <c r="I18" s="23">
        <f>'PAICOL-18'!J$6</f>
        <v>963</v>
      </c>
      <c r="J18" s="23">
        <f>'PAICOL-18'!K$6</f>
        <v>966</v>
      </c>
      <c r="K18" s="23">
        <f>'PAICOL-18'!L$6</f>
        <v>968</v>
      </c>
      <c r="L18" s="23">
        <f>'PAICOL-18'!M$6</f>
        <v>968</v>
      </c>
      <c r="M18" s="23">
        <f>'PAICOL-18'!N$6</f>
        <v>968</v>
      </c>
      <c r="N18" s="23">
        <f>'PAICOL-18'!O$6</f>
        <v>969</v>
      </c>
      <c r="O18" s="24">
        <f>SUM(C18:N18)</f>
        <v>11560</v>
      </c>
      <c r="V18" s="9"/>
      <c r="W18" s="10"/>
      <c r="X18" s="10"/>
    </row>
    <row r="19" spans="1:24" ht="15.75" customHeight="1" x14ac:dyDescent="0.25">
      <c r="A19" s="189"/>
      <c r="B19" s="40" t="s">
        <v>138</v>
      </c>
      <c r="C19" s="23">
        <f>'PAICOL-18'!D$5</f>
        <v>959</v>
      </c>
      <c r="D19" s="23">
        <f>'PAICOL-18'!E$5</f>
        <v>961</v>
      </c>
      <c r="E19" s="23">
        <f>'PAICOL-18'!F$5</f>
        <v>962</v>
      </c>
      <c r="F19" s="23">
        <f>'PAICOL-18'!G$5</f>
        <v>965</v>
      </c>
      <c r="G19" s="23">
        <f>'PAICOL-18'!H$5</f>
        <v>970</v>
      </c>
      <c r="H19" s="23">
        <f>'PAICOL-18'!I$5</f>
        <v>971</v>
      </c>
      <c r="I19" s="23">
        <f>'PAICOL-18'!J$5</f>
        <v>970</v>
      </c>
      <c r="J19" s="23">
        <f>'PAICOL-18'!K$5</f>
        <v>973</v>
      </c>
      <c r="K19" s="23">
        <f>'PAICOL-18'!L$5</f>
        <v>975</v>
      </c>
      <c r="L19" s="23">
        <f>'PAICOL-18'!M$5</f>
        <v>975</v>
      </c>
      <c r="M19" s="23">
        <f>'PAICOL-18'!N$5</f>
        <v>975</v>
      </c>
      <c r="N19" s="23">
        <f>'PAICOL-18'!O$5</f>
        <v>976</v>
      </c>
      <c r="O19" s="24">
        <f>SUM(C19:N19)</f>
        <v>11632</v>
      </c>
      <c r="V19" s="9"/>
      <c r="W19" s="10"/>
      <c r="X19" s="10"/>
    </row>
    <row r="20" spans="1:24" ht="17.25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Paicol'!$G10</f>
        <v>Entre 80% y 100%</v>
      </c>
      <c r="E22" s="181"/>
      <c r="F22" s="181"/>
      <c r="G22" s="182"/>
      <c r="H22" s="180" t="str">
        <f>'SET SP Paicol'!$H10</f>
        <v>Entre 60% y 79%</v>
      </c>
      <c r="I22" s="181"/>
      <c r="J22" s="181"/>
      <c r="K22" s="182"/>
      <c r="L22" s="180" t="str">
        <f>'SET SP Paicol'!$I10</f>
        <v>Menor al 59%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277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277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277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277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277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19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/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6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0.92</v>
      </c>
    </row>
    <row r="59" spans="17:17" x14ac:dyDescent="0.25">
      <c r="Q59" s="11">
        <v>1</v>
      </c>
    </row>
  </sheetData>
  <mergeCells count="74"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  <mergeCell ref="A31:M31"/>
    <mergeCell ref="N31:O31"/>
    <mergeCell ref="A32:M32"/>
    <mergeCell ref="N32:O32"/>
    <mergeCell ref="A33:M33"/>
    <mergeCell ref="N33:O33"/>
    <mergeCell ref="A28:M28"/>
    <mergeCell ref="N28:O28"/>
    <mergeCell ref="A29:M29"/>
    <mergeCell ref="N29:O29"/>
    <mergeCell ref="A30:M30"/>
    <mergeCell ref="N30:O30"/>
    <mergeCell ref="D1:O1"/>
    <mergeCell ref="D2:O2"/>
    <mergeCell ref="A3:E3"/>
    <mergeCell ref="F3:O3"/>
    <mergeCell ref="A4:E4"/>
    <mergeCell ref="F4:O4"/>
    <mergeCell ref="A1:C2"/>
    <mergeCell ref="I7:I8"/>
    <mergeCell ref="J7:K8"/>
    <mergeCell ref="L7:O7"/>
    <mergeCell ref="L8:M8"/>
    <mergeCell ref="H7:H8"/>
    <mergeCell ref="A9:D9"/>
    <mergeCell ref="F9:G9"/>
    <mergeCell ref="L22:O22"/>
    <mergeCell ref="D23:G23"/>
    <mergeCell ref="H23:K23"/>
    <mergeCell ref="A11:O11"/>
    <mergeCell ref="A14:B14"/>
    <mergeCell ref="L23:O23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42:O42"/>
    <mergeCell ref="A25:O25"/>
    <mergeCell ref="H22:K22"/>
    <mergeCell ref="A22:C23"/>
    <mergeCell ref="D22:G22"/>
    <mergeCell ref="A24:O24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5" zoomScaleSheetLayoutView="72" workbookViewId="0">
      <selection activeCell="A28" sqref="A28:M2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" style="3" customWidth="1"/>
    <col min="17" max="18" width="7" style="3" hidden="1" customWidth="1"/>
    <col min="19" max="19" width="7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Paicol'!$B11</f>
        <v>Cobertura   (Alcantarillado)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Paicol'!F11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Paicol'!A11</f>
        <v>IN06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57" customHeight="1" thickBot="1" x14ac:dyDescent="0.3">
      <c r="A9" s="206" t="str">
        <f>'SET SP Paicol'!$C11</f>
        <v xml:space="preserve">Medir el grado de cobertura en   la prestación del servicio de alcantarillado administrado  por Aguas del Huila. </v>
      </c>
      <c r="B9" s="207"/>
      <c r="C9" s="207"/>
      <c r="D9" s="207"/>
      <c r="E9" s="17" t="s">
        <v>35</v>
      </c>
      <c r="F9" s="207" t="str">
        <f>'SET SP Paicol'!$D11</f>
        <v xml:space="preserve">(Número de Suscriptores servicio alcantarillado / Número de Domicilios) x 100%  </v>
      </c>
      <c r="G9" s="207"/>
      <c r="H9" s="22">
        <f>$O16</f>
        <v>1</v>
      </c>
      <c r="I9" s="15" t="str">
        <f>'SET SP Paicol'!$E11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7"/>
      <c r="X12" s="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39">
        <f t="shared" ref="C15:N15" si="0">$O$15</f>
        <v>0.97</v>
      </c>
      <c r="D15" s="139">
        <f t="shared" si="0"/>
        <v>0.97</v>
      </c>
      <c r="E15" s="139">
        <f t="shared" si="0"/>
        <v>0.97</v>
      </c>
      <c r="F15" s="139">
        <f t="shared" si="0"/>
        <v>0.97</v>
      </c>
      <c r="G15" s="139">
        <f t="shared" si="0"/>
        <v>0.97</v>
      </c>
      <c r="H15" s="139">
        <f t="shared" si="0"/>
        <v>0.97</v>
      </c>
      <c r="I15" s="139">
        <f t="shared" si="0"/>
        <v>0.97</v>
      </c>
      <c r="J15" s="139">
        <f t="shared" si="0"/>
        <v>0.97</v>
      </c>
      <c r="K15" s="139">
        <f t="shared" si="0"/>
        <v>0.97</v>
      </c>
      <c r="L15" s="139">
        <f t="shared" si="0"/>
        <v>0.97</v>
      </c>
      <c r="M15" s="139">
        <f t="shared" si="0"/>
        <v>0.97</v>
      </c>
      <c r="N15" s="139">
        <f t="shared" si="0"/>
        <v>0.97</v>
      </c>
      <c r="O15" s="145">
        <f>'SET SP Paicol'!J11</f>
        <v>0.97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39">
        <f t="shared" ref="C16:N16" si="1">$O$16</f>
        <v>1</v>
      </c>
      <c r="D16" s="139">
        <f t="shared" si="1"/>
        <v>1</v>
      </c>
      <c r="E16" s="139">
        <f t="shared" si="1"/>
        <v>1</v>
      </c>
      <c r="F16" s="139">
        <f t="shared" si="1"/>
        <v>1</v>
      </c>
      <c r="G16" s="139">
        <f t="shared" si="1"/>
        <v>1</v>
      </c>
      <c r="H16" s="139">
        <f t="shared" si="1"/>
        <v>1</v>
      </c>
      <c r="I16" s="139">
        <f t="shared" si="1"/>
        <v>1</v>
      </c>
      <c r="J16" s="139">
        <f t="shared" si="1"/>
        <v>1</v>
      </c>
      <c r="K16" s="139">
        <f t="shared" si="1"/>
        <v>1</v>
      </c>
      <c r="L16" s="139">
        <f t="shared" si="1"/>
        <v>1</v>
      </c>
      <c r="M16" s="139">
        <f t="shared" si="1"/>
        <v>1</v>
      </c>
      <c r="N16" s="139">
        <f t="shared" si="1"/>
        <v>1</v>
      </c>
      <c r="O16" s="145">
        <f>'SET SP Paicol'!K11</f>
        <v>1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 t="shared" ref="C17:E17" si="2">IF((C19),C18/C19,"-")</f>
        <v>0.97601668404588116</v>
      </c>
      <c r="D17" s="12">
        <f t="shared" si="2"/>
        <v>0.9802289281997919</v>
      </c>
      <c r="E17" s="12">
        <f t="shared" si="2"/>
        <v>0.98024948024948022</v>
      </c>
      <c r="F17" s="12">
        <f>IF((F19),F18/F19,"-")</f>
        <v>0.98031088082901552</v>
      </c>
      <c r="G17" s="12">
        <f t="shared" ref="G17:O17" si="3">IF((G19),G18/G19,"-")</f>
        <v>0.97731958762886595</v>
      </c>
      <c r="H17" s="12">
        <f t="shared" si="3"/>
        <v>0.97734294541709577</v>
      </c>
      <c r="I17" s="12">
        <f t="shared" si="3"/>
        <v>0.97731958762886595</v>
      </c>
      <c r="J17" s="12">
        <f t="shared" si="3"/>
        <v>0.97738951695786225</v>
      </c>
      <c r="K17" s="12">
        <f t="shared" si="3"/>
        <v>0.97743589743589743</v>
      </c>
      <c r="L17" s="12">
        <f t="shared" si="3"/>
        <v>0.97743589743589743</v>
      </c>
      <c r="M17" s="12">
        <f t="shared" si="3"/>
        <v>0.97743589743589743</v>
      </c>
      <c r="N17" s="12">
        <f t="shared" si="3"/>
        <v>0.97745901639344257</v>
      </c>
      <c r="O17" s="13">
        <f t="shared" si="3"/>
        <v>0.97799174690508939</v>
      </c>
      <c r="V17" s="9"/>
      <c r="W17" s="10"/>
      <c r="X17" s="10"/>
    </row>
    <row r="18" spans="1:24" ht="26.25" customHeight="1" x14ac:dyDescent="0.25">
      <c r="A18" s="189" t="s">
        <v>37</v>
      </c>
      <c r="B18" s="40" t="s">
        <v>260</v>
      </c>
      <c r="C18" s="23">
        <f>'PAICOL-18'!D$7</f>
        <v>936</v>
      </c>
      <c r="D18" s="23">
        <f>'PAICOL-18'!E$7</f>
        <v>942</v>
      </c>
      <c r="E18" s="23">
        <f>'PAICOL-18'!F$7</f>
        <v>943</v>
      </c>
      <c r="F18" s="23">
        <f>'PAICOL-18'!G$7</f>
        <v>946</v>
      </c>
      <c r="G18" s="23">
        <f>'PAICOL-18'!H$7</f>
        <v>948</v>
      </c>
      <c r="H18" s="23">
        <f>'PAICOL-18'!I$7</f>
        <v>949</v>
      </c>
      <c r="I18" s="23">
        <f>'PAICOL-18'!J$7</f>
        <v>948</v>
      </c>
      <c r="J18" s="23">
        <f>'PAICOL-18'!K$7</f>
        <v>951</v>
      </c>
      <c r="K18" s="23">
        <f>'PAICOL-18'!L$7</f>
        <v>953</v>
      </c>
      <c r="L18" s="23">
        <f>'PAICOL-18'!M$7</f>
        <v>953</v>
      </c>
      <c r="M18" s="23">
        <f>'PAICOL-18'!N$7</f>
        <v>953</v>
      </c>
      <c r="N18" s="23">
        <f>'PAICOL-18'!O$7</f>
        <v>954</v>
      </c>
      <c r="O18" s="24">
        <f>SUM(C18:N18)</f>
        <v>11376</v>
      </c>
      <c r="V18" s="9"/>
      <c r="W18" s="10"/>
      <c r="X18" s="10"/>
    </row>
    <row r="19" spans="1:24" ht="12.75" customHeight="1" x14ac:dyDescent="0.25">
      <c r="A19" s="189"/>
      <c r="B19" s="40" t="s">
        <v>138</v>
      </c>
      <c r="C19" s="23">
        <f>'05'!C19</f>
        <v>959</v>
      </c>
      <c r="D19" s="23">
        <f>'05'!D19</f>
        <v>961</v>
      </c>
      <c r="E19" s="23">
        <f>'05'!E19</f>
        <v>962</v>
      </c>
      <c r="F19" s="23">
        <f>'05'!F19</f>
        <v>965</v>
      </c>
      <c r="G19" s="23">
        <f>'05'!G19</f>
        <v>970</v>
      </c>
      <c r="H19" s="23">
        <f>'05'!H19</f>
        <v>971</v>
      </c>
      <c r="I19" s="23">
        <f>'05'!I19</f>
        <v>970</v>
      </c>
      <c r="J19" s="23">
        <f>'05'!J19</f>
        <v>973</v>
      </c>
      <c r="K19" s="23">
        <f>'05'!K19</f>
        <v>975</v>
      </c>
      <c r="L19" s="23">
        <f>'05'!L19</f>
        <v>975</v>
      </c>
      <c r="M19" s="23">
        <f>'05'!M19</f>
        <v>975</v>
      </c>
      <c r="N19" s="23">
        <f>'05'!N19</f>
        <v>976</v>
      </c>
      <c r="O19" s="24">
        <f>SUM(C19:N19)</f>
        <v>11632</v>
      </c>
      <c r="V19" s="9"/>
      <c r="W19" s="10"/>
      <c r="X19" s="10"/>
    </row>
    <row r="20" spans="1:24" ht="17.25" customHeight="1" x14ac:dyDescent="0.25">
      <c r="A20" s="189"/>
      <c r="B20" s="7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286" t="str">
        <f>'SET SP Paicol'!$G11</f>
        <v>Entre 80% y 100%</v>
      </c>
      <c r="E22" s="287"/>
      <c r="F22" s="287"/>
      <c r="G22" s="288"/>
      <c r="H22" s="180" t="str">
        <f>'SET SP Paicol'!$H11</f>
        <v>Entre 60% y 79%</v>
      </c>
      <c r="I22" s="181"/>
      <c r="J22" s="181"/>
      <c r="K22" s="182"/>
      <c r="L22" s="180" t="str">
        <f>'SET SP Paicol'!$I11</f>
        <v>Menor al 59%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278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278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278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278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278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25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/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6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0.92</v>
      </c>
    </row>
    <row r="59" spans="17:17" x14ac:dyDescent="0.25">
      <c r="Q59" s="11">
        <v>1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29:M29"/>
    <mergeCell ref="N29:O29"/>
    <mergeCell ref="A30:M30"/>
    <mergeCell ref="N30:O30"/>
    <mergeCell ref="A31:M31"/>
    <mergeCell ref="N31:O31"/>
    <mergeCell ref="A40:M40"/>
    <mergeCell ref="N40:O40"/>
    <mergeCell ref="J9:O9"/>
    <mergeCell ref="A26:M26"/>
    <mergeCell ref="N26:O26"/>
    <mergeCell ref="A15:B15"/>
    <mergeCell ref="A12:O12"/>
    <mergeCell ref="A13:O13"/>
    <mergeCell ref="A14:B14"/>
    <mergeCell ref="A9:D9"/>
    <mergeCell ref="F9:G9"/>
    <mergeCell ref="A10:O10"/>
    <mergeCell ref="A27:M27"/>
    <mergeCell ref="N27:O27"/>
    <mergeCell ref="A28:M28"/>
    <mergeCell ref="N28:O28"/>
    <mergeCell ref="A41:M41"/>
    <mergeCell ref="N41:O41"/>
    <mergeCell ref="A16:B16"/>
    <mergeCell ref="A17:B17"/>
    <mergeCell ref="A18:A21"/>
    <mergeCell ref="L22:O22"/>
    <mergeCell ref="D23:G23"/>
    <mergeCell ref="H23:K23"/>
    <mergeCell ref="L23:O23"/>
    <mergeCell ref="A24:O24"/>
    <mergeCell ref="A25:O25"/>
    <mergeCell ref="H22:K22"/>
    <mergeCell ref="A22:C23"/>
    <mergeCell ref="D22:G22"/>
    <mergeCell ref="A39:M39"/>
    <mergeCell ref="N39:O39"/>
    <mergeCell ref="A6:E6"/>
    <mergeCell ref="A7:D8"/>
    <mergeCell ref="E7:E8"/>
    <mergeCell ref="F7:G8"/>
    <mergeCell ref="H7:H8"/>
    <mergeCell ref="G6:O6"/>
    <mergeCell ref="A42:O42"/>
    <mergeCell ref="A4:E4"/>
    <mergeCell ref="F4:O4"/>
    <mergeCell ref="A1:C2"/>
    <mergeCell ref="D1:O1"/>
    <mergeCell ref="D2:O2"/>
    <mergeCell ref="A11:O11"/>
    <mergeCell ref="I7:I8"/>
    <mergeCell ref="A5:E5"/>
    <mergeCell ref="A3:E3"/>
    <mergeCell ref="F3:O3"/>
    <mergeCell ref="N8:O8"/>
    <mergeCell ref="F5:O5"/>
    <mergeCell ref="J7:K8"/>
    <mergeCell ref="L7:O7"/>
    <mergeCell ref="L8:M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10" zoomScaleSheetLayoutView="72" workbookViewId="0">
      <selection activeCell="C19" sqref="C19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8.85546875" style="3" customWidth="1"/>
    <col min="4" max="4" width="9.140625" style="3" customWidth="1"/>
    <col min="5" max="11" width="7.7109375" style="3" customWidth="1"/>
    <col min="12" max="12" width="8.28515625" style="3" customWidth="1"/>
    <col min="13" max="15" width="7.7109375" style="3" customWidth="1"/>
    <col min="16" max="16" width="7.85546875" style="3" customWidth="1"/>
    <col min="17" max="18" width="7.85546875" style="3" hidden="1" customWidth="1"/>
    <col min="19" max="19" width="7.855468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Paicol'!$B12</f>
        <v xml:space="preserve">Cobertura   (Servicio de Aseo) 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Paicol'!F12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Paicol'!A12</f>
        <v>IN07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48.75" customHeight="1" thickBot="1" x14ac:dyDescent="0.3">
      <c r="A9" s="206" t="str">
        <f>'SET SP Paicol'!$C12</f>
        <v xml:space="preserve">Medir el grado de cobertura en   la prestación del servicio de aseo administrado  por Aguas del Huila. </v>
      </c>
      <c r="B9" s="207"/>
      <c r="C9" s="207"/>
      <c r="D9" s="207"/>
      <c r="E9" s="17" t="s">
        <v>35</v>
      </c>
      <c r="F9" s="207" t="str">
        <f>'SET SP Paicol'!$D12</f>
        <v xml:space="preserve">(Residuos sólidos recolectada/ Residuos sólidos producidos) x 100%           </v>
      </c>
      <c r="G9" s="207"/>
      <c r="H9" s="22">
        <f>$O16</f>
        <v>1</v>
      </c>
      <c r="I9" s="16" t="str">
        <f>'SET SP Paicol'!$E12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18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8"/>
      <c r="X12" s="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41">
        <f t="shared" ref="C15:N15" si="0">$O$15</f>
        <v>0.97</v>
      </c>
      <c r="D15" s="141">
        <f t="shared" si="0"/>
        <v>0.97</v>
      </c>
      <c r="E15" s="141">
        <f t="shared" si="0"/>
        <v>0.97</v>
      </c>
      <c r="F15" s="141">
        <f t="shared" si="0"/>
        <v>0.97</v>
      </c>
      <c r="G15" s="141">
        <f t="shared" si="0"/>
        <v>0.97</v>
      </c>
      <c r="H15" s="141">
        <f t="shared" si="0"/>
        <v>0.97</v>
      </c>
      <c r="I15" s="141">
        <f t="shared" si="0"/>
        <v>0.97</v>
      </c>
      <c r="J15" s="141">
        <f t="shared" si="0"/>
        <v>0.97</v>
      </c>
      <c r="K15" s="141">
        <f t="shared" si="0"/>
        <v>0.97</v>
      </c>
      <c r="L15" s="141">
        <f t="shared" si="0"/>
        <v>0.97</v>
      </c>
      <c r="M15" s="141">
        <f t="shared" si="0"/>
        <v>0.97</v>
      </c>
      <c r="N15" s="141">
        <f t="shared" si="0"/>
        <v>0.97</v>
      </c>
      <c r="O15" s="146">
        <f>'SET SP Paicol'!J12</f>
        <v>0.97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41">
        <f t="shared" ref="C16:N16" si="1">$O$16</f>
        <v>1</v>
      </c>
      <c r="D16" s="141">
        <f t="shared" si="1"/>
        <v>1</v>
      </c>
      <c r="E16" s="141">
        <f t="shared" si="1"/>
        <v>1</v>
      </c>
      <c r="F16" s="141">
        <f t="shared" si="1"/>
        <v>1</v>
      </c>
      <c r="G16" s="141">
        <f t="shared" si="1"/>
        <v>1</v>
      </c>
      <c r="H16" s="141">
        <f t="shared" si="1"/>
        <v>1</v>
      </c>
      <c r="I16" s="141">
        <f t="shared" si="1"/>
        <v>1</v>
      </c>
      <c r="J16" s="141">
        <f t="shared" si="1"/>
        <v>1</v>
      </c>
      <c r="K16" s="141">
        <f t="shared" si="1"/>
        <v>1</v>
      </c>
      <c r="L16" s="141">
        <f t="shared" si="1"/>
        <v>1</v>
      </c>
      <c r="M16" s="141">
        <f t="shared" si="1"/>
        <v>1</v>
      </c>
      <c r="N16" s="141">
        <f t="shared" si="1"/>
        <v>1</v>
      </c>
      <c r="O16" s="146">
        <f>'SET SP Paicol'!K12</f>
        <v>1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71">
        <f>IF(ISNUMBER(C19),C18/C19,"-")</f>
        <v>0.98018769551616269</v>
      </c>
      <c r="D17" s="71">
        <f t="shared" ref="D17:O17" si="2">IF(ISNUMBER(D19),D18/D19,"-")</f>
        <v>0.98022892819979179</v>
      </c>
      <c r="E17" s="71">
        <f t="shared" si="2"/>
        <v>0.98024948024948022</v>
      </c>
      <c r="F17" s="71">
        <f t="shared" si="2"/>
        <v>0.98031088082901552</v>
      </c>
      <c r="G17" s="71">
        <f t="shared" si="2"/>
        <v>0.97731958762886595</v>
      </c>
      <c r="H17" s="71">
        <f t="shared" si="2"/>
        <v>0.97734294541709577</v>
      </c>
      <c r="I17" s="71">
        <f t="shared" si="2"/>
        <v>0.97731958762886595</v>
      </c>
      <c r="J17" s="71">
        <f t="shared" si="2"/>
        <v>0.97738951695786225</v>
      </c>
      <c r="K17" s="71">
        <f t="shared" si="2"/>
        <v>0.97743589743589743</v>
      </c>
      <c r="L17" s="71">
        <f t="shared" si="2"/>
        <v>0.97743589743589743</v>
      </c>
      <c r="M17" s="71">
        <f t="shared" si="2"/>
        <v>0.97743589743589743</v>
      </c>
      <c r="N17" s="71">
        <f t="shared" si="2"/>
        <v>0.97745901639344246</v>
      </c>
      <c r="O17" s="73">
        <f t="shared" si="2"/>
        <v>0.97832071921939479</v>
      </c>
      <c r="V17" s="9"/>
      <c r="W17" s="10"/>
      <c r="X17" s="10"/>
    </row>
    <row r="18" spans="1:24" ht="17.25" customHeight="1" x14ac:dyDescent="0.25">
      <c r="A18" s="189" t="s">
        <v>37</v>
      </c>
      <c r="B18" s="40" t="s">
        <v>139</v>
      </c>
      <c r="C18" s="70">
        <f>'PAICOL-18'!D$36</f>
        <v>56.66</v>
      </c>
      <c r="D18" s="70">
        <f>'PAICOL-18'!E$36</f>
        <v>49.29</v>
      </c>
      <c r="E18" s="70">
        <f>'PAICOL-18'!F$36</f>
        <v>55.39</v>
      </c>
      <c r="F18" s="70">
        <f>'PAICOL-18'!G$36</f>
        <v>49.89</v>
      </c>
      <c r="G18" s="70">
        <f>'PAICOL-18'!H$36</f>
        <v>63.57</v>
      </c>
      <c r="H18" s="70">
        <f>'PAICOL-18'!I$36</f>
        <v>48.07</v>
      </c>
      <c r="I18" s="70">
        <f>'PAICOL-18'!J$36</f>
        <v>56.49</v>
      </c>
      <c r="J18" s="70">
        <f>'PAICOL-18'!K$36</f>
        <v>55.4</v>
      </c>
      <c r="K18" s="70">
        <f>'PAICOL-18'!L$36</f>
        <v>55.17</v>
      </c>
      <c r="L18" s="70">
        <f>'PAICOL-18'!M$36</f>
        <v>53.34</v>
      </c>
      <c r="M18" s="70">
        <f>'PAICOL-18'!N$36</f>
        <v>56.35</v>
      </c>
      <c r="N18" s="70">
        <f>'PAICOL-18'!O$36</f>
        <v>46.56</v>
      </c>
      <c r="O18" s="19">
        <f>SUM(C18:N18)</f>
        <v>646.18000000000006</v>
      </c>
      <c r="V18" s="9"/>
      <c r="W18" s="10"/>
      <c r="X18" s="10"/>
    </row>
    <row r="19" spans="1:24" ht="17.25" customHeight="1" x14ac:dyDescent="0.25">
      <c r="A19" s="189"/>
      <c r="B19" s="40" t="s">
        <v>140</v>
      </c>
      <c r="C19" s="75">
        <f>IF(('PAICOL-18'!D$55),C18/'PAICOL-18'!D$55,"0")</f>
        <v>57.805255319148934</v>
      </c>
      <c r="D19" s="75">
        <f>IF(('PAICOL-18'!E$55),D18/'PAICOL-18'!E$55,"0")</f>
        <v>50.284171974522295</v>
      </c>
      <c r="E19" s="75">
        <f>IF(('PAICOL-18'!F$55),E18/'PAICOL-18'!F$55,"0")</f>
        <v>56.506023329798516</v>
      </c>
      <c r="F19" s="75">
        <f>IF(('PAICOL-18'!G$55),F18/'PAICOL-18'!G$55,"0")</f>
        <v>50.892019027484146</v>
      </c>
      <c r="G19" s="75">
        <f>IF(('PAICOL-18'!H$55),G18/'PAICOL-18'!H$55,"0")</f>
        <v>65.045253164556968</v>
      </c>
      <c r="H19" s="75">
        <f>IF(('PAICOL-18'!I$55),H18/'PAICOL-18'!I$55,"0")</f>
        <v>49.184373024236038</v>
      </c>
      <c r="I19" s="75">
        <f>IF(('PAICOL-18'!J$55),I18/'PAICOL-18'!J$55,"0")</f>
        <v>57.800949367088613</v>
      </c>
      <c r="J19" s="75">
        <f>IF(('PAICOL-18'!K$55),J18/'PAICOL-18'!K$55,"0")</f>
        <v>56.681598317560464</v>
      </c>
      <c r="K19" s="75">
        <f>IF(('PAICOL-18'!L$55),K18/'PAICOL-18'!L$55,"0")</f>
        <v>56.443599160545645</v>
      </c>
      <c r="L19" s="75">
        <f>IF(('PAICOL-18'!M$55),L18/'PAICOL-18'!M$55,"0")</f>
        <v>54.571353620146908</v>
      </c>
      <c r="M19" s="75">
        <f>IF(('PAICOL-18'!N$55),M18/'PAICOL-18'!N$55,"0")</f>
        <v>57.650839454354674</v>
      </c>
      <c r="N19" s="75">
        <f>IF(('PAICOL-18'!O$55),N18/'PAICOL-18'!O$55,"0")</f>
        <v>47.633710691823907</v>
      </c>
      <c r="O19" s="76">
        <f>SUM(C19:N19)</f>
        <v>660.49914645126717</v>
      </c>
      <c r="V19" s="9"/>
      <c r="W19" s="10"/>
      <c r="X19" s="10"/>
    </row>
    <row r="20" spans="1:24" ht="15" customHeight="1" x14ac:dyDescent="0.25">
      <c r="A20" s="289"/>
      <c r="B20" s="5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1"/>
      <c r="V20" s="9"/>
      <c r="W20" s="10"/>
      <c r="X20" s="10"/>
    </row>
    <row r="21" spans="1:24" ht="13.5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Paicol'!$G12</f>
        <v>Entre 80% y 100%</v>
      </c>
      <c r="E22" s="181"/>
      <c r="F22" s="181"/>
      <c r="G22" s="182"/>
      <c r="H22" s="180" t="str">
        <f>'SET SP Paicol'!$H12</f>
        <v>Entre 60% y 79%</v>
      </c>
      <c r="I22" s="181"/>
      <c r="J22" s="181"/>
      <c r="K22" s="182"/>
      <c r="L22" s="180" t="str">
        <f>'SET SP Paicol'!$I12</f>
        <v>Menor al 59%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279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279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279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279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279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25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/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6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25">
        <v>0.92</v>
      </c>
    </row>
    <row r="59" spans="17:17" x14ac:dyDescent="0.25">
      <c r="Q59" s="25">
        <v>1</v>
      </c>
    </row>
  </sheetData>
  <mergeCells count="74"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J7:K8"/>
    <mergeCell ref="L7:O7"/>
    <mergeCell ref="L8:M8"/>
    <mergeCell ref="A10:O10"/>
    <mergeCell ref="J9:O9"/>
    <mergeCell ref="A25:O25"/>
    <mergeCell ref="L23:O23"/>
    <mergeCell ref="A24:O24"/>
    <mergeCell ref="A11:O11"/>
    <mergeCell ref="A12:O12"/>
    <mergeCell ref="A13:O13"/>
    <mergeCell ref="A14:B14"/>
    <mergeCell ref="N32:O32"/>
    <mergeCell ref="A29:M29"/>
    <mergeCell ref="N29:O29"/>
    <mergeCell ref="A30:M30"/>
    <mergeCell ref="N30:O30"/>
    <mergeCell ref="A31:M31"/>
    <mergeCell ref="N31:O31"/>
    <mergeCell ref="N26:O26"/>
    <mergeCell ref="A27:M27"/>
    <mergeCell ref="N27:O27"/>
    <mergeCell ref="A28:M28"/>
    <mergeCell ref="N28:O28"/>
    <mergeCell ref="F5:O5"/>
    <mergeCell ref="A41:M41"/>
    <mergeCell ref="N41:O41"/>
    <mergeCell ref="D1:O1"/>
    <mergeCell ref="D2:O2"/>
    <mergeCell ref="A3:E3"/>
    <mergeCell ref="F3:O3"/>
    <mergeCell ref="A4:E4"/>
    <mergeCell ref="F4:O4"/>
    <mergeCell ref="A1:C2"/>
    <mergeCell ref="G6:O6"/>
    <mergeCell ref="A6:E6"/>
    <mergeCell ref="A7:D8"/>
    <mergeCell ref="E7:E8"/>
    <mergeCell ref="F7:G8"/>
    <mergeCell ref="H7:H8"/>
    <mergeCell ref="A5:E5"/>
    <mergeCell ref="A16:B16"/>
    <mergeCell ref="A17:B17"/>
    <mergeCell ref="A18:A21"/>
    <mergeCell ref="A15:B15"/>
    <mergeCell ref="A42:O42"/>
    <mergeCell ref="N8:O8"/>
    <mergeCell ref="A9:D9"/>
    <mergeCell ref="F9:G9"/>
    <mergeCell ref="L22:O22"/>
    <mergeCell ref="D23:G23"/>
    <mergeCell ref="H23:K23"/>
    <mergeCell ref="H22:K22"/>
    <mergeCell ref="A22:C23"/>
    <mergeCell ref="D22:G22"/>
    <mergeCell ref="I7:I8"/>
    <mergeCell ref="A39:M39"/>
    <mergeCell ref="N39:O39"/>
    <mergeCell ref="A40:M40"/>
    <mergeCell ref="N40:O40"/>
    <mergeCell ref="A26:M26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8" zoomScaleSheetLayoutView="72" workbookViewId="0">
      <selection activeCell="A12" sqref="A12:O12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85546875" style="3" customWidth="1"/>
    <col min="17" max="18" width="6.85546875" style="3" hidden="1" customWidth="1"/>
    <col min="19" max="19" width="6.855468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247"/>
      <c r="B1" s="248"/>
      <c r="C1" s="249"/>
      <c r="D1" s="243" t="s">
        <v>20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24" ht="15.75" customHeight="1" thickBot="1" x14ac:dyDescent="0.3">
      <c r="A2" s="250"/>
      <c r="B2" s="251"/>
      <c r="C2" s="252"/>
      <c r="D2" s="245" t="s">
        <v>67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24" ht="13.5" customHeight="1" x14ac:dyDescent="0.25">
      <c r="A3" s="253" t="s">
        <v>0</v>
      </c>
      <c r="B3" s="254"/>
      <c r="C3" s="254"/>
      <c r="D3" s="254"/>
      <c r="E3" s="254"/>
      <c r="F3" s="254" t="str">
        <f>'SET SP Paicol'!J3</f>
        <v>GESTIÓN DE SERVICIOS PÚBLICOS - PAICOL</v>
      </c>
      <c r="G3" s="254"/>
      <c r="H3" s="254"/>
      <c r="I3" s="254"/>
      <c r="J3" s="254"/>
      <c r="K3" s="254"/>
      <c r="L3" s="254"/>
      <c r="M3" s="254"/>
      <c r="N3" s="254"/>
      <c r="O3" s="255"/>
    </row>
    <row r="4" spans="1:24" ht="15.75" customHeight="1" x14ac:dyDescent="0.25">
      <c r="A4" s="235" t="s">
        <v>1</v>
      </c>
      <c r="B4" s="236"/>
      <c r="C4" s="236"/>
      <c r="D4" s="236"/>
      <c r="E4" s="236"/>
      <c r="F4" s="256" t="str">
        <f>'SET SP Paicol'!$B13</f>
        <v>Cobertura de medición</v>
      </c>
      <c r="G4" s="256"/>
      <c r="H4" s="256"/>
      <c r="I4" s="256"/>
      <c r="J4" s="256"/>
      <c r="K4" s="256"/>
      <c r="L4" s="256"/>
      <c r="M4" s="256"/>
      <c r="N4" s="256"/>
      <c r="O4" s="280"/>
    </row>
    <row r="5" spans="1:24" ht="15.75" customHeight="1" x14ac:dyDescent="0.25">
      <c r="A5" s="235" t="s">
        <v>55</v>
      </c>
      <c r="B5" s="236"/>
      <c r="C5" s="236"/>
      <c r="D5" s="236"/>
      <c r="E5" s="236"/>
      <c r="F5" s="238" t="str">
        <f>'SET SP Paicol'!F13</f>
        <v xml:space="preserve">Eficiencia </v>
      </c>
      <c r="G5" s="239"/>
      <c r="H5" s="239"/>
      <c r="I5" s="239"/>
      <c r="J5" s="239"/>
      <c r="K5" s="239"/>
      <c r="L5" s="239"/>
      <c r="M5" s="239"/>
      <c r="N5" s="239"/>
      <c r="O5" s="240"/>
    </row>
    <row r="6" spans="1:24" ht="17.25" customHeight="1" thickBot="1" x14ac:dyDescent="0.3">
      <c r="A6" s="259" t="s">
        <v>21</v>
      </c>
      <c r="B6" s="260"/>
      <c r="C6" s="260"/>
      <c r="D6" s="260"/>
      <c r="E6" s="260"/>
      <c r="F6" s="26" t="s">
        <v>94</v>
      </c>
      <c r="G6" s="261" t="str">
        <f>'SET SP Paicol'!A13</f>
        <v>IN08</v>
      </c>
      <c r="H6" s="261"/>
      <c r="I6" s="261"/>
      <c r="J6" s="261"/>
      <c r="K6" s="261"/>
      <c r="L6" s="261"/>
      <c r="M6" s="261"/>
      <c r="N6" s="261"/>
      <c r="O6" s="276"/>
    </row>
    <row r="7" spans="1:24" ht="12.75" customHeight="1" x14ac:dyDescent="0.25">
      <c r="A7" s="264" t="s">
        <v>22</v>
      </c>
      <c r="B7" s="265"/>
      <c r="C7" s="265"/>
      <c r="D7" s="265"/>
      <c r="E7" s="230" t="s">
        <v>23</v>
      </c>
      <c r="F7" s="230" t="s">
        <v>24</v>
      </c>
      <c r="G7" s="230"/>
      <c r="H7" s="230" t="s">
        <v>25</v>
      </c>
      <c r="I7" s="230" t="s">
        <v>26</v>
      </c>
      <c r="J7" s="230" t="s">
        <v>27</v>
      </c>
      <c r="K7" s="230"/>
      <c r="L7" s="232" t="s">
        <v>28</v>
      </c>
      <c r="M7" s="232"/>
      <c r="N7" s="232"/>
      <c r="O7" s="233"/>
    </row>
    <row r="8" spans="1:24" ht="46.5" customHeight="1" x14ac:dyDescent="0.25">
      <c r="A8" s="266"/>
      <c r="B8" s="234"/>
      <c r="C8" s="234"/>
      <c r="D8" s="234"/>
      <c r="E8" s="231"/>
      <c r="F8" s="231"/>
      <c r="G8" s="231"/>
      <c r="H8" s="231"/>
      <c r="I8" s="231"/>
      <c r="J8" s="231"/>
      <c r="K8" s="231"/>
      <c r="L8" s="234" t="s">
        <v>29</v>
      </c>
      <c r="M8" s="234"/>
      <c r="N8" s="234" t="s">
        <v>30</v>
      </c>
      <c r="O8" s="237"/>
    </row>
    <row r="9" spans="1:24" ht="57.75" customHeight="1" thickBot="1" x14ac:dyDescent="0.3">
      <c r="A9" s="206" t="str">
        <f>'SET SP Paicol'!$C13</f>
        <v>Lograr que los suscriptores del servicio de acueducto de Aguas del Huila, tengan su instrumento medición.</v>
      </c>
      <c r="B9" s="207"/>
      <c r="C9" s="207"/>
      <c r="D9" s="207"/>
      <c r="E9" s="17" t="s">
        <v>35</v>
      </c>
      <c r="F9" s="290" t="str">
        <f>'SET SP Paicol'!$D13</f>
        <v xml:space="preserve">(Número de Medidores en servicio / Número de Suscriptores) x 100%          </v>
      </c>
      <c r="G9" s="291"/>
      <c r="H9" s="22">
        <f>$O16</f>
        <v>0.9</v>
      </c>
      <c r="I9" s="28" t="str">
        <f>'SET SP Paicol'!$E13</f>
        <v>Trimestral</v>
      </c>
      <c r="J9" s="208" t="s">
        <v>89</v>
      </c>
      <c r="K9" s="209"/>
      <c r="L9" s="209"/>
      <c r="M9" s="209"/>
      <c r="N9" s="209"/>
      <c r="O9" s="210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4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83" t="s">
        <v>31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9" t="s">
        <v>8</v>
      </c>
      <c r="D14" s="79" t="s">
        <v>9</v>
      </c>
      <c r="E14" s="79" t="s">
        <v>10</v>
      </c>
      <c r="F14" s="79" t="s">
        <v>11</v>
      </c>
      <c r="G14" s="79" t="s">
        <v>12</v>
      </c>
      <c r="H14" s="79" t="s">
        <v>13</v>
      </c>
      <c r="I14" s="79" t="s">
        <v>14</v>
      </c>
      <c r="J14" s="79" t="s">
        <v>15</v>
      </c>
      <c r="K14" s="79" t="s">
        <v>16</v>
      </c>
      <c r="L14" s="79" t="s">
        <v>17</v>
      </c>
      <c r="M14" s="79" t="s">
        <v>18</v>
      </c>
      <c r="N14" s="79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183" t="s">
        <v>39</v>
      </c>
      <c r="B15" s="184"/>
      <c r="C15" s="141">
        <f t="shared" ref="C15:N15" si="0">$O$15</f>
        <v>0.98</v>
      </c>
      <c r="D15" s="141">
        <f t="shared" si="0"/>
        <v>0.98</v>
      </c>
      <c r="E15" s="141">
        <f t="shared" si="0"/>
        <v>0.98</v>
      </c>
      <c r="F15" s="141">
        <f t="shared" si="0"/>
        <v>0.98</v>
      </c>
      <c r="G15" s="141">
        <f t="shared" si="0"/>
        <v>0.98</v>
      </c>
      <c r="H15" s="141">
        <f t="shared" si="0"/>
        <v>0.98</v>
      </c>
      <c r="I15" s="141">
        <f t="shared" si="0"/>
        <v>0.98</v>
      </c>
      <c r="J15" s="141">
        <f t="shared" si="0"/>
        <v>0.98</v>
      </c>
      <c r="K15" s="141">
        <f t="shared" si="0"/>
        <v>0.98</v>
      </c>
      <c r="L15" s="141">
        <f t="shared" si="0"/>
        <v>0.98</v>
      </c>
      <c r="M15" s="141">
        <f t="shared" si="0"/>
        <v>0.98</v>
      </c>
      <c r="N15" s="141">
        <f t="shared" si="0"/>
        <v>0.98</v>
      </c>
      <c r="O15" s="145">
        <f>'SET SP Paicol'!J13</f>
        <v>0.98</v>
      </c>
      <c r="V15" s="9"/>
      <c r="W15" s="10"/>
      <c r="X15" s="10"/>
    </row>
    <row r="16" spans="1:24" ht="17.25" customHeight="1" x14ac:dyDescent="0.25">
      <c r="A16" s="183" t="s">
        <v>271</v>
      </c>
      <c r="B16" s="184"/>
      <c r="C16" s="141">
        <f t="shared" ref="C16:N16" si="1">$O$16</f>
        <v>0.9</v>
      </c>
      <c r="D16" s="141">
        <f t="shared" si="1"/>
        <v>0.9</v>
      </c>
      <c r="E16" s="141">
        <f t="shared" si="1"/>
        <v>0.9</v>
      </c>
      <c r="F16" s="141">
        <f t="shared" si="1"/>
        <v>0.9</v>
      </c>
      <c r="G16" s="141">
        <f t="shared" si="1"/>
        <v>0.9</v>
      </c>
      <c r="H16" s="141">
        <f t="shared" si="1"/>
        <v>0.9</v>
      </c>
      <c r="I16" s="141">
        <f t="shared" si="1"/>
        <v>0.9</v>
      </c>
      <c r="J16" s="141">
        <f t="shared" si="1"/>
        <v>0.9</v>
      </c>
      <c r="K16" s="141">
        <f t="shared" si="1"/>
        <v>0.9</v>
      </c>
      <c r="L16" s="141">
        <f t="shared" si="1"/>
        <v>0.9</v>
      </c>
      <c r="M16" s="141">
        <f t="shared" si="1"/>
        <v>0.9</v>
      </c>
      <c r="N16" s="141">
        <f t="shared" si="1"/>
        <v>0.9</v>
      </c>
      <c r="O16" s="145">
        <f>'SET SP Paicol'!K13</f>
        <v>0.9</v>
      </c>
      <c r="V16" s="9"/>
      <c r="W16" s="10"/>
      <c r="X16" s="10"/>
    </row>
    <row r="17" spans="1:24" ht="17.25" customHeight="1" x14ac:dyDescent="0.25">
      <c r="A17" s="187" t="s">
        <v>265</v>
      </c>
      <c r="B17" s="188"/>
      <c r="C17" s="12">
        <f t="shared" ref="C17:E17" si="2">IF((C19),C18/C19,"-")</f>
        <v>0.97801047120418849</v>
      </c>
      <c r="D17" s="12">
        <f t="shared" si="2"/>
        <v>0.9791013584117032</v>
      </c>
      <c r="E17" s="12">
        <f t="shared" si="2"/>
        <v>0.97599164926931103</v>
      </c>
      <c r="F17" s="12">
        <f>IF((F19),F18/F19,"-")</f>
        <v>0.96462018730489074</v>
      </c>
      <c r="G17" s="12">
        <f t="shared" ref="G17:O17" si="3">IF((G19),G18/G19,"-")</f>
        <v>0.96677050882658355</v>
      </c>
      <c r="H17" s="12">
        <f t="shared" si="3"/>
        <v>0.96887966804979253</v>
      </c>
      <c r="I17" s="12">
        <f t="shared" si="3"/>
        <v>0.96677050882658355</v>
      </c>
      <c r="J17" s="12">
        <f t="shared" si="3"/>
        <v>0.96790890269151142</v>
      </c>
      <c r="K17" s="12">
        <f t="shared" si="3"/>
        <v>0.9700413223140496</v>
      </c>
      <c r="L17" s="12">
        <f t="shared" si="3"/>
        <v>0.9824380165289256</v>
      </c>
      <c r="M17" s="12">
        <f t="shared" si="3"/>
        <v>0.9700413223140496</v>
      </c>
      <c r="N17" s="12">
        <f t="shared" si="3"/>
        <v>0.97213622291021673</v>
      </c>
      <c r="O17" s="13">
        <f t="shared" si="3"/>
        <v>0.97188581314878897</v>
      </c>
      <c r="V17" s="9"/>
      <c r="W17" s="10"/>
      <c r="X17" s="10"/>
    </row>
    <row r="18" spans="1:24" ht="16.5" customHeight="1" x14ac:dyDescent="0.25">
      <c r="A18" s="189" t="s">
        <v>37</v>
      </c>
      <c r="B18" s="40" t="s">
        <v>141</v>
      </c>
      <c r="C18" s="23">
        <f>+'PAICOL-18'!D38</f>
        <v>934</v>
      </c>
      <c r="D18" s="23">
        <f>+'PAICOL-18'!E38</f>
        <v>937</v>
      </c>
      <c r="E18" s="23">
        <f>+'PAICOL-18'!F38</f>
        <v>935</v>
      </c>
      <c r="F18" s="23">
        <f>+'PAICOL-18'!G38</f>
        <v>927</v>
      </c>
      <c r="G18" s="23">
        <f>+'PAICOL-18'!H38</f>
        <v>931</v>
      </c>
      <c r="H18" s="23">
        <f>+'PAICOL-18'!I38</f>
        <v>934</v>
      </c>
      <c r="I18" s="23">
        <f>+'PAICOL-18'!J38</f>
        <v>931</v>
      </c>
      <c r="J18" s="23">
        <f>+'PAICOL-18'!K38</f>
        <v>935</v>
      </c>
      <c r="K18" s="23">
        <f>+'PAICOL-18'!L38</f>
        <v>939</v>
      </c>
      <c r="L18" s="23">
        <f>+'PAICOL-18'!M38</f>
        <v>951</v>
      </c>
      <c r="M18" s="23">
        <f>+'PAICOL-18'!N38</f>
        <v>939</v>
      </c>
      <c r="N18" s="23">
        <f>+'PAICOL-18'!O38</f>
        <v>942</v>
      </c>
      <c r="O18" s="24">
        <f>SUM(C18:N18)</f>
        <v>11235</v>
      </c>
      <c r="V18" s="9"/>
      <c r="W18" s="10"/>
      <c r="X18" s="10"/>
    </row>
    <row r="19" spans="1:24" ht="14.25" customHeight="1" x14ac:dyDescent="0.25">
      <c r="A19" s="189"/>
      <c r="B19" s="40" t="s">
        <v>137</v>
      </c>
      <c r="C19" s="23">
        <f>'05'!C18</f>
        <v>955</v>
      </c>
      <c r="D19" s="23">
        <f>'05'!D18</f>
        <v>957</v>
      </c>
      <c r="E19" s="23">
        <f>'05'!E18</f>
        <v>958</v>
      </c>
      <c r="F19" s="23">
        <f>'05'!F18</f>
        <v>961</v>
      </c>
      <c r="G19" s="23">
        <f>'05'!G18</f>
        <v>963</v>
      </c>
      <c r="H19" s="23">
        <f>'05'!H18</f>
        <v>964</v>
      </c>
      <c r="I19" s="23">
        <f>'05'!I18</f>
        <v>963</v>
      </c>
      <c r="J19" s="23">
        <f>'05'!J18</f>
        <v>966</v>
      </c>
      <c r="K19" s="23">
        <f>'05'!K18</f>
        <v>968</v>
      </c>
      <c r="L19" s="23">
        <f>'05'!L18</f>
        <v>968</v>
      </c>
      <c r="M19" s="23">
        <f>'05'!M18</f>
        <v>968</v>
      </c>
      <c r="N19" s="23">
        <f>'05'!N18</f>
        <v>969</v>
      </c>
      <c r="O19" s="24">
        <f>SUM(C19:N19)</f>
        <v>11560</v>
      </c>
      <c r="V19" s="9"/>
      <c r="W19" s="10"/>
      <c r="X19" s="10"/>
    </row>
    <row r="20" spans="1:24" ht="14.25" customHeight="1" x14ac:dyDescent="0.25">
      <c r="A20" s="289"/>
      <c r="B20" s="5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1"/>
      <c r="V20" s="9"/>
      <c r="W20" s="10"/>
      <c r="X20" s="10"/>
    </row>
    <row r="21" spans="1:24" ht="14.25" customHeight="1" thickBot="1" x14ac:dyDescent="0.3">
      <c r="A21" s="190"/>
      <c r="B21" s="8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191" t="s">
        <v>34</v>
      </c>
      <c r="B22" s="192"/>
      <c r="C22" s="193"/>
      <c r="D22" s="180" t="str">
        <f>'SET SP Paicol'!$G13</f>
        <v>Entre 80% y 100%</v>
      </c>
      <c r="E22" s="181"/>
      <c r="F22" s="181"/>
      <c r="G22" s="182"/>
      <c r="H22" s="180" t="str">
        <f>'SET SP Paicol'!$H13</f>
        <v>Entre 60% y 79%</v>
      </c>
      <c r="I22" s="181"/>
      <c r="J22" s="181"/>
      <c r="K22" s="182"/>
      <c r="L22" s="180" t="str">
        <f>'SET SP Paicol'!$I13</f>
        <v>Menor al 59%</v>
      </c>
      <c r="M22" s="185"/>
      <c r="N22" s="185"/>
      <c r="O22" s="186"/>
      <c r="V22" s="9"/>
      <c r="W22" s="10"/>
      <c r="X22" s="10"/>
    </row>
    <row r="23" spans="1:24" ht="33" customHeight="1" thickBot="1" x14ac:dyDescent="0.3">
      <c r="A23" s="194"/>
      <c r="B23" s="195"/>
      <c r="C23" s="195"/>
      <c r="D23" s="196" t="s">
        <v>7</v>
      </c>
      <c r="E23" s="196"/>
      <c r="F23" s="196"/>
      <c r="G23" s="196"/>
      <c r="H23" s="197" t="s">
        <v>61</v>
      </c>
      <c r="I23" s="197"/>
      <c r="J23" s="197"/>
      <c r="K23" s="197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V25" s="9"/>
    </row>
    <row r="26" spans="1:24" ht="15" customHeight="1" x14ac:dyDescent="0.25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 t="s">
        <v>60</v>
      </c>
      <c r="O26" s="201"/>
    </row>
    <row r="27" spans="1:24" ht="15" customHeight="1" x14ac:dyDescent="0.25">
      <c r="A27" s="202" t="s">
        <v>280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41">
        <v>43101</v>
      </c>
      <c r="O27" s="242"/>
    </row>
    <row r="28" spans="1:24" ht="15" customHeight="1" x14ac:dyDescent="0.25">
      <c r="A28" s="202" t="s">
        <v>281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>
        <v>43132</v>
      </c>
      <c r="O28" s="242"/>
    </row>
    <row r="29" spans="1:24" ht="15" customHeight="1" x14ac:dyDescent="0.25">
      <c r="A29" s="202" t="s">
        <v>282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>
        <v>43160</v>
      </c>
      <c r="O29" s="242"/>
    </row>
    <row r="30" spans="1:24" ht="15" customHeight="1" x14ac:dyDescent="0.25">
      <c r="A30" s="202" t="s">
        <v>280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1">
        <v>43191</v>
      </c>
      <c r="O30" s="242"/>
    </row>
    <row r="31" spans="1:24" ht="15" customHeight="1" x14ac:dyDescent="0.25">
      <c r="A31" s="202" t="s">
        <v>280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41">
        <v>43221</v>
      </c>
      <c r="O31" s="242"/>
    </row>
    <row r="32" spans="1:24" ht="15" customHeight="1" x14ac:dyDescent="0.25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>
        <v>43252</v>
      </c>
      <c r="O32" s="242"/>
    </row>
    <row r="33" spans="1:17" ht="1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>
        <v>43282</v>
      </c>
      <c r="O33" s="242"/>
    </row>
    <row r="34" spans="1:17" ht="1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>
        <v>43313</v>
      </c>
      <c r="O34" s="242"/>
    </row>
    <row r="35" spans="1:17" ht="1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>
        <v>43344</v>
      </c>
      <c r="O35" s="242"/>
    </row>
    <row r="36" spans="1:17" ht="1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>
        <v>43374</v>
      </c>
      <c r="O36" s="242"/>
    </row>
    <row r="37" spans="1:17" ht="1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>
        <v>43405</v>
      </c>
      <c r="O37" s="242"/>
    </row>
    <row r="38" spans="1:17" ht="15" customHeight="1" thickBot="1" x14ac:dyDescent="0.3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>
        <v>43435</v>
      </c>
      <c r="O38" s="242"/>
    </row>
    <row r="39" spans="1:17" ht="25.5" customHeight="1" x14ac:dyDescent="0.25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 t="s">
        <v>60</v>
      </c>
      <c r="O39" s="201"/>
    </row>
    <row r="40" spans="1:17" ht="15" x14ac:dyDescent="0.25">
      <c r="A40" s="202" t="s">
        <v>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4" t="s">
        <v>3</v>
      </c>
      <c r="O40" s="205"/>
    </row>
    <row r="41" spans="1:17" ht="15.75" thickBot="1" x14ac:dyDescent="0.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7" ht="3.7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25">
        <v>0.88</v>
      </c>
    </row>
    <row r="59" spans="17:17" x14ac:dyDescent="0.25">
      <c r="Q59" s="25">
        <v>0.9</v>
      </c>
    </row>
  </sheetData>
  <mergeCells count="74"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  <mergeCell ref="A31:M31"/>
    <mergeCell ref="N31:O31"/>
    <mergeCell ref="A32:M32"/>
    <mergeCell ref="N32:O32"/>
    <mergeCell ref="A33:M33"/>
    <mergeCell ref="N33:O33"/>
    <mergeCell ref="A28:M28"/>
    <mergeCell ref="N28:O28"/>
    <mergeCell ref="A29:M29"/>
    <mergeCell ref="N29:O29"/>
    <mergeCell ref="A30:M30"/>
    <mergeCell ref="N30:O30"/>
    <mergeCell ref="D1:O1"/>
    <mergeCell ref="D2:O2"/>
    <mergeCell ref="A3:E3"/>
    <mergeCell ref="F3:O3"/>
    <mergeCell ref="A4:E4"/>
    <mergeCell ref="F4:O4"/>
    <mergeCell ref="A1:C2"/>
    <mergeCell ref="I7:I8"/>
    <mergeCell ref="J7:K8"/>
    <mergeCell ref="L7:O7"/>
    <mergeCell ref="L8:M8"/>
    <mergeCell ref="H7:H8"/>
    <mergeCell ref="A9:D9"/>
    <mergeCell ref="F9:G9"/>
    <mergeCell ref="L22:O22"/>
    <mergeCell ref="D23:G23"/>
    <mergeCell ref="H23:K23"/>
    <mergeCell ref="A11:O11"/>
    <mergeCell ref="A14:B14"/>
    <mergeCell ref="L23:O23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42:O42"/>
    <mergeCell ref="A25:O25"/>
    <mergeCell ref="H22:K22"/>
    <mergeCell ref="A22:C23"/>
    <mergeCell ref="D22:G22"/>
    <mergeCell ref="A24:O24"/>
    <mergeCell ref="A39:M39"/>
    <mergeCell ref="N39:O39"/>
    <mergeCell ref="A40:M40"/>
    <mergeCell ref="N40:O40"/>
    <mergeCell ref="A41:M41"/>
    <mergeCell ref="N41:O41"/>
    <mergeCell ref="A26:M26"/>
    <mergeCell ref="N26:O26"/>
    <mergeCell ref="A27:M27"/>
    <mergeCell ref="N27:O2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SET SP Paicol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PAICOL-18</vt:lpstr>
      <vt:lpstr>'PAICOL-18'!Área_de_impresión</vt:lpstr>
      <vt:lpstr>'SET SP Paicol'!Títulos_a_imprimir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wendy dayana</cp:lastModifiedBy>
  <cp:lastPrinted>2015-08-17T02:32:09Z</cp:lastPrinted>
  <dcterms:created xsi:type="dcterms:W3CDTF">2010-03-16T20:37:23Z</dcterms:created>
  <dcterms:modified xsi:type="dcterms:W3CDTF">2019-03-06T22:36:18Z</dcterms:modified>
</cp:coreProperties>
</file>